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hris\Documents\2021 11 25\FENARIVE\C.A\2024 02 24\"/>
    </mc:Choice>
  </mc:AlternateContent>
  <xr:revisionPtr revIDLastSave="0" documentId="8_{D6E60013-9148-4832-9E2F-443D7F027195}" xr6:coauthVersionLast="47" xr6:coauthVersionMax="47" xr10:uidLastSave="{00000000-0000-0000-0000-000000000000}"/>
  <bookViews>
    <workbookView xWindow="-108" yWindow="612" windowWidth="23256" windowHeight="11736" firstSheet="2" activeTab="4" xr2:uid="{00000000-000D-0000-FFFF-FFFF00000000}"/>
  </bookViews>
  <sheets>
    <sheet name="Redevance Pollution" sheetId="11" r:id="rId1"/>
    <sheet name="Redevance pollution DOM" sheetId="25" r:id="rId2"/>
    <sheet name="Modernisation réseaux collecte" sheetId="12" r:id="rId3"/>
    <sheet name="Modernisation réseaux colle dom" sheetId="26" r:id="rId4"/>
    <sheet name="Prélévement Usage eco" sheetId="13" r:id="rId5"/>
    <sheet name="Prélévement Irrig Grav" sheetId="30" r:id="rId6"/>
    <sheet name="Prélévement Irrig" sheetId="31" r:id="rId7"/>
    <sheet name="Prélévement domestique" sheetId="28" r:id="rId8"/>
    <sheet name="Prélévement Hydro" sheetId="14" r:id="rId9"/>
    <sheet name="Obstacles" sheetId="15" r:id="rId10"/>
    <sheet name="Prélévement pour refroidissemen" sheetId="16" r:id="rId11"/>
    <sheet name="Alimentation d'un canal" sheetId="19" r:id="rId12"/>
    <sheet name="Stokage Etiage" sheetId="17" r:id="rId13"/>
    <sheet name="Graphique pollution 1" sheetId="20" r:id="rId14"/>
    <sheet name="Graphique pollution 2" sheetId="21" r:id="rId15"/>
  </sheets>
  <definedNames>
    <definedName name="_xlnm._FilterDatabase" localSheetId="0" hidden="1">'Redevance Pollution'!$A$3:$V$4</definedName>
    <definedName name="_xlnm.Print_Area" localSheetId="14">'Graphique pollution 2'!#REF!</definedName>
    <definedName name="_xlnm.Print_Area" localSheetId="3">'Modernisation réseaux colle dom'!$A$3:$F$9</definedName>
    <definedName name="_xlnm.Print_Area" localSheetId="2">'Modernisation réseaux collecte'!$A$3:$G$10</definedName>
    <definedName name="_xlnm.Print_Area" localSheetId="6">'Prélévement Irrig'!$A$1:$B$43</definedName>
    <definedName name="_xlnm.Print_Area" localSheetId="5">'Prélévement Irrig Grav'!$A$1:$B$43</definedName>
    <definedName name="_xlnm.Print_Area" localSheetId="4">'Prélévement Usage eco'!$A$1:$H$47</definedName>
    <definedName name="_xlnm.Print_Area" localSheetId="0">'Redevance Pollution'!$A$81:$T$100</definedName>
    <definedName name="_xlnm.Print_Area" localSheetId="1">'Redevance pollution DOM'!$A$3:$G$15</definedName>
  </definedNames>
  <calcPr calcId="181029"/>
</workbook>
</file>

<file path=xl/calcChain.xml><?xml version="1.0" encoding="utf-8"?>
<calcChain xmlns="http://schemas.openxmlformats.org/spreadsheetml/2006/main">
  <c r="Y19" i="31" l="1"/>
  <c r="X6" i="31"/>
  <c r="Y37" i="31"/>
  <c r="X33" i="31"/>
  <c r="Y32" i="31"/>
  <c r="X30" i="31"/>
  <c r="X29" i="31"/>
  <c r="Y4" i="31"/>
  <c r="X4" i="31"/>
  <c r="Y5" i="30"/>
  <c r="Y4" i="30"/>
  <c r="X5" i="30"/>
  <c r="X4" i="30"/>
  <c r="BJ28" i="16"/>
  <c r="BJ27" i="16"/>
  <c r="BJ44" i="16"/>
  <c r="BJ42" i="16"/>
  <c r="BJ43" i="16"/>
  <c r="BJ41" i="16"/>
  <c r="BJ40" i="16"/>
  <c r="BJ38" i="16"/>
  <c r="BJ39" i="16"/>
  <c r="BJ37" i="16"/>
  <c r="BL44" i="16"/>
  <c r="BL42" i="16"/>
  <c r="BL43" i="16"/>
  <c r="BL41" i="16"/>
  <c r="BL39" i="16"/>
  <c r="BL38" i="16"/>
  <c r="BL37" i="16"/>
  <c r="BL29" i="16"/>
  <c r="BL30" i="16"/>
  <c r="BL31" i="16"/>
  <c r="BJ36" i="16"/>
  <c r="BJ35" i="16"/>
  <c r="BJ34" i="16"/>
  <c r="BJ33" i="16"/>
  <c r="BJ32" i="16"/>
  <c r="BJ31" i="16"/>
  <c r="BJ30" i="16"/>
  <c r="BJ29" i="16"/>
  <c r="BJ23" i="16"/>
  <c r="BJ18" i="16"/>
  <c r="BJ17" i="16"/>
  <c r="BJ16" i="16"/>
  <c r="BJ11" i="16"/>
  <c r="BJ12" i="16"/>
  <c r="BJ10" i="16"/>
  <c r="BL18" i="16"/>
  <c r="BL23" i="16"/>
  <c r="BL17" i="16"/>
  <c r="BL16" i="16"/>
  <c r="BL11" i="16"/>
  <c r="BL12" i="16"/>
  <c r="BL10" i="16"/>
  <c r="U8" i="14"/>
  <c r="U9" i="14"/>
  <c r="U5" i="14"/>
  <c r="BJ28" i="28"/>
  <c r="W38" i="31"/>
  <c r="W39" i="31"/>
  <c r="W40" i="31"/>
  <c r="W37" i="31"/>
  <c r="W35" i="31"/>
  <c r="W36" i="31"/>
  <c r="W34" i="31"/>
  <c r="W33" i="31"/>
  <c r="W25" i="31"/>
  <c r="W27" i="31"/>
  <c r="W26" i="31"/>
  <c r="W19" i="31"/>
  <c r="W14" i="31"/>
  <c r="W13" i="31"/>
  <c r="W12" i="31"/>
  <c r="W7" i="31"/>
  <c r="W8" i="31"/>
  <c r="W6" i="31"/>
  <c r="W38" i="30"/>
  <c r="W39" i="30"/>
  <c r="W40" i="30"/>
  <c r="W37" i="30"/>
  <c r="W36" i="30"/>
  <c r="W34" i="30"/>
  <c r="W26" i="30"/>
  <c r="W25" i="30"/>
  <c r="W35" i="30"/>
  <c r="W33" i="30"/>
  <c r="BE42" i="13"/>
  <c r="BE43" i="13"/>
  <c r="BE44" i="13"/>
  <c r="BE41" i="13"/>
  <c r="BE40" i="13"/>
  <c r="BE38" i="13"/>
  <c r="BE39" i="13"/>
  <c r="BE37" i="13"/>
  <c r="BD40" i="13"/>
  <c r="BD38" i="13"/>
  <c r="BD39" i="13"/>
  <c r="BD37" i="13"/>
  <c r="BD35" i="13"/>
  <c r="BD34" i="13"/>
  <c r="BD33" i="13"/>
  <c r="BE30" i="13"/>
  <c r="BE29" i="13"/>
  <c r="BE23" i="13"/>
  <c r="BE18" i="13"/>
  <c r="BE17" i="13"/>
  <c r="BE10" i="13"/>
  <c r="BD10" i="13"/>
  <c r="BD5" i="13"/>
  <c r="BK6" i="16"/>
  <c r="BJ6" i="16"/>
  <c r="BK4" i="16"/>
  <c r="BJ4" i="16"/>
  <c r="H9" i="14"/>
  <c r="V337" i="11"/>
  <c r="U337" i="11"/>
  <c r="T337" i="11"/>
  <c r="S337" i="11"/>
  <c r="N337" i="11"/>
  <c r="M337" i="11"/>
  <c r="L337" i="11"/>
  <c r="K337" i="11"/>
  <c r="J337" i="11"/>
  <c r="H337" i="11"/>
  <c r="G337" i="11"/>
  <c r="F337" i="11"/>
  <c r="E337" i="11"/>
  <c r="D337" i="11"/>
  <c r="V317" i="11"/>
  <c r="U317" i="11"/>
  <c r="T317" i="11"/>
  <c r="S317" i="11"/>
  <c r="N317" i="11"/>
  <c r="M317" i="11"/>
  <c r="L317" i="11"/>
  <c r="K317" i="11"/>
  <c r="J317" i="11"/>
  <c r="H317" i="11"/>
  <c r="G317" i="11"/>
  <c r="F317" i="11"/>
  <c r="E317" i="11"/>
  <c r="D317" i="11"/>
  <c r="V297" i="11"/>
  <c r="U297" i="11"/>
  <c r="T297" i="11"/>
  <c r="S297" i="11"/>
  <c r="N297" i="11"/>
  <c r="M297" i="11"/>
  <c r="L297" i="11"/>
  <c r="K297" i="11"/>
  <c r="J297" i="11"/>
  <c r="H297" i="11"/>
  <c r="G297" i="11"/>
  <c r="F297" i="11"/>
  <c r="E297" i="11"/>
  <c r="D297" i="11"/>
  <c r="V277" i="11"/>
  <c r="U277" i="11"/>
  <c r="T277" i="11"/>
  <c r="S277" i="11"/>
  <c r="N277" i="11"/>
  <c r="M277" i="11"/>
  <c r="L277" i="11"/>
  <c r="K277" i="11"/>
  <c r="J277" i="11"/>
  <c r="H277" i="11"/>
  <c r="G277" i="11"/>
  <c r="F277" i="11"/>
  <c r="E277" i="11"/>
  <c r="D277" i="11"/>
  <c r="V257" i="11"/>
  <c r="U257" i="11"/>
  <c r="T257" i="11"/>
  <c r="S257" i="11"/>
  <c r="N257" i="11"/>
  <c r="M257" i="11"/>
  <c r="L257" i="11"/>
  <c r="K257" i="11"/>
  <c r="J257" i="11"/>
  <c r="H257" i="11"/>
  <c r="G257" i="11"/>
  <c r="F257" i="11"/>
  <c r="E257" i="11"/>
  <c r="D257" i="11"/>
  <c r="V255" i="11"/>
  <c r="U255" i="11"/>
  <c r="T255" i="11"/>
  <c r="S255" i="11"/>
  <c r="Q255" i="11"/>
  <c r="P255" i="11"/>
  <c r="O255" i="11"/>
  <c r="N255" i="11"/>
  <c r="M255" i="11"/>
  <c r="L255" i="11"/>
  <c r="K255" i="11"/>
  <c r="J255" i="11"/>
  <c r="H255" i="11"/>
  <c r="G255" i="11"/>
  <c r="F255" i="11"/>
  <c r="E255" i="11"/>
  <c r="D255" i="11"/>
  <c r="V275" i="11"/>
  <c r="U275" i="11"/>
  <c r="T275" i="11"/>
  <c r="S275" i="11"/>
  <c r="Q275" i="11"/>
  <c r="P275" i="11"/>
  <c r="O275" i="11"/>
  <c r="N275" i="11"/>
  <c r="M275" i="11"/>
  <c r="L275" i="11"/>
  <c r="K275" i="11"/>
  <c r="J275" i="11"/>
  <c r="H275" i="11"/>
  <c r="G275" i="11"/>
  <c r="F275" i="11"/>
  <c r="E275" i="11"/>
  <c r="D275" i="11"/>
  <c r="V295" i="11"/>
  <c r="U295" i="11"/>
  <c r="T295" i="11"/>
  <c r="S295" i="11"/>
  <c r="Q295" i="11"/>
  <c r="P295" i="11"/>
  <c r="O295" i="11"/>
  <c r="N295" i="11"/>
  <c r="M295" i="11"/>
  <c r="L295" i="11"/>
  <c r="K295" i="11"/>
  <c r="J295" i="11"/>
  <c r="H295" i="11"/>
  <c r="G295" i="11"/>
  <c r="F295" i="11"/>
  <c r="E295" i="11"/>
  <c r="D295" i="11"/>
  <c r="E315" i="11"/>
  <c r="F315" i="11"/>
  <c r="G315" i="11"/>
  <c r="H315" i="11"/>
  <c r="J315" i="11"/>
  <c r="K315" i="11"/>
  <c r="L315" i="11"/>
  <c r="M315" i="11"/>
  <c r="N315" i="11"/>
  <c r="O315" i="11"/>
  <c r="P315" i="11"/>
  <c r="Q315" i="11"/>
  <c r="S315" i="11"/>
  <c r="T315" i="11"/>
  <c r="U315" i="11"/>
  <c r="V315" i="11"/>
  <c r="D315" i="11"/>
  <c r="E335" i="11"/>
  <c r="F335" i="11"/>
  <c r="G335" i="11"/>
  <c r="H335" i="11"/>
  <c r="J335" i="11"/>
  <c r="K335" i="11"/>
  <c r="L335" i="11"/>
  <c r="M335" i="11"/>
  <c r="N335" i="11"/>
  <c r="O335" i="11"/>
  <c r="P335" i="11"/>
  <c r="Q335" i="11"/>
  <c r="S335" i="11"/>
  <c r="T335" i="11"/>
  <c r="U335" i="11"/>
  <c r="V335" i="11"/>
  <c r="D335" i="11"/>
  <c r="V342" i="11"/>
  <c r="U342" i="11"/>
  <c r="S342" i="11"/>
  <c r="R342" i="11"/>
  <c r="Q342" i="11"/>
  <c r="P342" i="11"/>
  <c r="N342" i="11"/>
  <c r="M342" i="11"/>
  <c r="L342" i="11"/>
  <c r="K342" i="11"/>
  <c r="J342" i="11"/>
  <c r="I342" i="11"/>
  <c r="H342" i="11"/>
  <c r="G342" i="11"/>
  <c r="F342" i="11"/>
  <c r="D342" i="11"/>
  <c r="V322" i="11"/>
  <c r="U322" i="11"/>
  <c r="S322" i="11"/>
  <c r="R322" i="11"/>
  <c r="Q322" i="11"/>
  <c r="P322" i="11"/>
  <c r="N322" i="11"/>
  <c r="M322" i="11"/>
  <c r="L322" i="11"/>
  <c r="K322" i="11"/>
  <c r="J322" i="11"/>
  <c r="I322" i="11"/>
  <c r="H322" i="11"/>
  <c r="G322" i="11"/>
  <c r="F322" i="11"/>
  <c r="D322" i="11"/>
  <c r="V302" i="11"/>
  <c r="U302" i="11"/>
  <c r="S302" i="11"/>
  <c r="R302" i="11"/>
  <c r="Q302" i="11"/>
  <c r="P302" i="11"/>
  <c r="N302" i="11"/>
  <c r="M302" i="11"/>
  <c r="L302" i="11"/>
  <c r="K302" i="11"/>
  <c r="J302" i="11"/>
  <c r="I302" i="11"/>
  <c r="H302" i="11"/>
  <c r="G302" i="11"/>
  <c r="F302" i="11"/>
  <c r="D302" i="11"/>
  <c r="V282" i="11"/>
  <c r="U282" i="11"/>
  <c r="S282" i="11"/>
  <c r="R282" i="11"/>
  <c r="Q282" i="11"/>
  <c r="P282" i="11"/>
  <c r="N282" i="11"/>
  <c r="M282" i="11"/>
  <c r="L282" i="11"/>
  <c r="K282" i="11"/>
  <c r="J282" i="11"/>
  <c r="I282" i="11"/>
  <c r="H282" i="11"/>
  <c r="G282" i="11"/>
  <c r="F282" i="11"/>
  <c r="D282" i="11"/>
  <c r="V262" i="11"/>
  <c r="U262" i="11"/>
  <c r="S262" i="11"/>
  <c r="R262" i="11"/>
  <c r="Q262" i="11"/>
  <c r="P262" i="11"/>
  <c r="N262" i="11"/>
  <c r="M262" i="11"/>
  <c r="L262" i="11"/>
  <c r="K262" i="11"/>
  <c r="J262" i="11"/>
  <c r="I262" i="11"/>
  <c r="H262" i="11"/>
  <c r="G262" i="11"/>
  <c r="F262" i="11"/>
  <c r="D262" i="11"/>
  <c r="F242" i="11"/>
  <c r="G242" i="11"/>
  <c r="H242" i="11"/>
  <c r="I242" i="11"/>
  <c r="J242" i="11"/>
  <c r="K242" i="11"/>
  <c r="L242" i="11"/>
  <c r="M242" i="11"/>
  <c r="N242" i="11"/>
  <c r="P242" i="11"/>
  <c r="Q242" i="11"/>
  <c r="R242" i="11"/>
  <c r="S242" i="11"/>
  <c r="U242" i="11"/>
  <c r="V242" i="11"/>
  <c r="D242" i="11"/>
  <c r="I217" i="20" l="1"/>
  <c r="H217" i="20"/>
  <c r="G219" i="20"/>
  <c r="G217" i="20"/>
  <c r="G215" i="20"/>
  <c r="H201" i="20"/>
  <c r="L210" i="20" s="1"/>
  <c r="D40" i="21"/>
  <c r="D216" i="20" s="1"/>
  <c r="D120" i="21"/>
  <c r="I216" i="20" s="1"/>
  <c r="D80" i="21"/>
  <c r="F216" i="20" s="1"/>
  <c r="V340" i="11" l="1"/>
  <c r="U340" i="11"/>
  <c r="T340" i="11"/>
  <c r="S340" i="11"/>
  <c r="R340" i="11"/>
  <c r="Q340" i="11"/>
  <c r="P340" i="11"/>
  <c r="O340" i="11"/>
  <c r="N340" i="11"/>
  <c r="M340" i="11"/>
  <c r="L340" i="11"/>
  <c r="K340" i="11"/>
  <c r="J340" i="11"/>
  <c r="H340" i="11"/>
  <c r="G340" i="11"/>
  <c r="F340" i="11"/>
  <c r="E340" i="11"/>
  <c r="D340" i="11"/>
  <c r="V320" i="11"/>
  <c r="U320" i="11"/>
  <c r="T320" i="11"/>
  <c r="S320" i="11"/>
  <c r="R320" i="11"/>
  <c r="Q320" i="11"/>
  <c r="P320" i="11"/>
  <c r="O320" i="11"/>
  <c r="N320" i="11"/>
  <c r="M320" i="11"/>
  <c r="L320" i="11"/>
  <c r="K320" i="11"/>
  <c r="J320" i="11"/>
  <c r="H320" i="11"/>
  <c r="G320" i="11"/>
  <c r="F320" i="11"/>
  <c r="E320" i="11"/>
  <c r="D320" i="11"/>
  <c r="V300" i="11"/>
  <c r="U300" i="11"/>
  <c r="T300" i="11"/>
  <c r="S300" i="11"/>
  <c r="R300" i="11"/>
  <c r="Q300" i="11"/>
  <c r="P300" i="11"/>
  <c r="O300" i="11"/>
  <c r="N300" i="11"/>
  <c r="M300" i="11"/>
  <c r="L300" i="11"/>
  <c r="K300" i="11"/>
  <c r="J300" i="11"/>
  <c r="H300" i="11"/>
  <c r="G300" i="11"/>
  <c r="F300" i="11"/>
  <c r="E300" i="11"/>
  <c r="D300" i="11"/>
  <c r="V280" i="11"/>
  <c r="U280" i="11"/>
  <c r="T280" i="11"/>
  <c r="S280" i="11"/>
  <c r="R280" i="11"/>
  <c r="Q280" i="11"/>
  <c r="P280" i="11"/>
  <c r="O280" i="11"/>
  <c r="N280" i="11"/>
  <c r="M280" i="11"/>
  <c r="L280" i="11"/>
  <c r="K280" i="11"/>
  <c r="J280" i="11"/>
  <c r="H280" i="11"/>
  <c r="G280" i="11"/>
  <c r="F280" i="11"/>
  <c r="E280" i="11"/>
  <c r="D280" i="11"/>
  <c r="V260" i="11"/>
  <c r="U260" i="11"/>
  <c r="T260" i="11"/>
  <c r="S260" i="11"/>
  <c r="R260" i="11"/>
  <c r="Q260" i="11"/>
  <c r="P260" i="11"/>
  <c r="O260" i="11"/>
  <c r="N260" i="11"/>
  <c r="M260" i="11"/>
  <c r="L260" i="11"/>
  <c r="K260" i="11"/>
  <c r="J260" i="11"/>
  <c r="H260" i="11"/>
  <c r="G260" i="11"/>
  <c r="F260" i="11"/>
  <c r="E260" i="11"/>
  <c r="D260" i="11"/>
  <c r="V240" i="11"/>
  <c r="U240" i="11"/>
  <c r="T240" i="11"/>
  <c r="S240" i="11"/>
  <c r="R240" i="11"/>
  <c r="Q240" i="11"/>
  <c r="P240" i="11"/>
  <c r="O240" i="11"/>
  <c r="N240" i="11"/>
  <c r="M240" i="11"/>
  <c r="L240" i="11"/>
  <c r="K240" i="11"/>
  <c r="J240" i="11"/>
  <c r="H240" i="11"/>
  <c r="G240" i="11"/>
  <c r="F240" i="11"/>
  <c r="E240" i="11"/>
  <c r="D240" i="11"/>
  <c r="V237" i="11"/>
  <c r="U237" i="11"/>
  <c r="T237" i="11"/>
  <c r="S237" i="11"/>
  <c r="N237" i="11"/>
  <c r="M237" i="11"/>
  <c r="L237" i="11"/>
  <c r="K237" i="11"/>
  <c r="J237" i="11"/>
  <c r="H237" i="11"/>
  <c r="G237" i="11"/>
  <c r="F237" i="11"/>
  <c r="E237" i="11"/>
  <c r="D237" i="11"/>
  <c r="J207" i="20" l="1"/>
  <c r="F161" i="20"/>
  <c r="J208" i="20" s="1"/>
  <c r="G161" i="20"/>
  <c r="J209" i="20" s="1"/>
  <c r="H161" i="20"/>
  <c r="J210" i="20" s="1"/>
  <c r="D141" i="20"/>
  <c r="I206" i="20" s="1"/>
  <c r="E141" i="20"/>
  <c r="I207" i="20" s="1"/>
  <c r="F141" i="20"/>
  <c r="I208" i="20" s="1"/>
  <c r="G141" i="20"/>
  <c r="I209" i="20" s="1"/>
  <c r="H141" i="20"/>
  <c r="I210" i="20" s="1"/>
  <c r="C141" i="20"/>
  <c r="I205" i="20" s="1"/>
  <c r="H207" i="20"/>
  <c r="H208" i="20"/>
  <c r="G101" i="20"/>
  <c r="H209" i="20" s="1"/>
  <c r="H101" i="20"/>
  <c r="H210" i="20" s="1"/>
  <c r="C101" i="20"/>
  <c r="H205" i="20" s="1"/>
  <c r="D81" i="20"/>
  <c r="G206" i="20" s="1"/>
  <c r="E81" i="20"/>
  <c r="G207" i="20" s="1"/>
  <c r="F81" i="20"/>
  <c r="G208" i="20" s="1"/>
  <c r="G81" i="20"/>
  <c r="G209" i="20" s="1"/>
  <c r="H81" i="20"/>
  <c r="G210" i="20" s="1"/>
  <c r="C81" i="20"/>
  <c r="G205" i="20" s="1"/>
  <c r="D121" i="20"/>
  <c r="D206" i="20" s="1"/>
  <c r="D61" i="20"/>
  <c r="F206" i="20" s="1"/>
  <c r="E61" i="20"/>
  <c r="F61" i="20"/>
  <c r="F208" i="20" s="1"/>
  <c r="G61" i="20"/>
  <c r="F209" i="20" s="1"/>
  <c r="H61" i="20"/>
  <c r="F210" i="20" s="1"/>
  <c r="C61" i="20"/>
  <c r="F205" i="20" s="1"/>
  <c r="E121" i="20"/>
  <c r="F121" i="20"/>
  <c r="D208" i="20" s="1"/>
  <c r="H121" i="20"/>
  <c r="D210" i="20" s="1"/>
  <c r="D41" i="20"/>
  <c r="E206" i="20" s="1"/>
  <c r="E41" i="20"/>
  <c r="F41" i="20"/>
  <c r="E208" i="20" s="1"/>
  <c r="G41" i="20"/>
  <c r="E209" i="20" s="1"/>
  <c r="H41" i="20"/>
  <c r="E210" i="20" s="1"/>
  <c r="C41" i="20"/>
  <c r="E205" i="20" s="1"/>
  <c r="T338" i="11" l="1"/>
  <c r="S338" i="11"/>
  <c r="N338" i="11"/>
  <c r="M338" i="11"/>
  <c r="L338" i="11"/>
  <c r="K338" i="11"/>
  <c r="T318" i="11"/>
  <c r="S318" i="11"/>
  <c r="N318" i="11"/>
  <c r="M318" i="11"/>
  <c r="L318" i="11"/>
  <c r="K318" i="11"/>
  <c r="T298" i="11"/>
  <c r="S298" i="11"/>
  <c r="N298" i="11"/>
  <c r="M298" i="11"/>
  <c r="L298" i="11"/>
  <c r="K298" i="11"/>
  <c r="T278" i="11"/>
  <c r="S278" i="11"/>
  <c r="N278" i="11"/>
  <c r="M278" i="11"/>
  <c r="L278" i="11"/>
  <c r="K278" i="11"/>
  <c r="T258" i="11"/>
  <c r="S258" i="11"/>
  <c r="N258" i="11"/>
  <c r="M258" i="11"/>
  <c r="L258" i="11"/>
  <c r="K258" i="11"/>
  <c r="D180" i="21" l="1"/>
  <c r="E180" i="21"/>
  <c r="F180" i="21"/>
  <c r="G180" i="21"/>
  <c r="H180" i="21"/>
  <c r="C180" i="21"/>
  <c r="D160" i="21"/>
  <c r="E160" i="21"/>
  <c r="F160" i="21"/>
  <c r="G160" i="21"/>
  <c r="H160" i="21"/>
  <c r="C160" i="21"/>
  <c r="D140" i="21"/>
  <c r="G216" i="20" s="1"/>
  <c r="F140" i="21"/>
  <c r="G218" i="20" s="1"/>
  <c r="H140" i="21"/>
  <c r="G220" i="20" s="1"/>
  <c r="F120" i="21"/>
  <c r="I218" i="20" s="1"/>
  <c r="G120" i="21"/>
  <c r="I219" i="20" s="1"/>
  <c r="H120" i="21"/>
  <c r="I220" i="20" s="1"/>
  <c r="C120" i="21"/>
  <c r="I215" i="20" s="1"/>
  <c r="D100" i="21"/>
  <c r="H216" i="20" s="1"/>
  <c r="F100" i="21"/>
  <c r="H218" i="20" s="1"/>
  <c r="G100" i="21"/>
  <c r="H219" i="20" s="1"/>
  <c r="H100" i="21"/>
  <c r="H220" i="20" s="1"/>
  <c r="C100" i="21"/>
  <c r="H215" i="20" s="1"/>
  <c r="E80" i="21"/>
  <c r="F217" i="20" s="1"/>
  <c r="F80" i="21"/>
  <c r="F218" i="20" s="1"/>
  <c r="G80" i="21"/>
  <c r="F219" i="20" s="1"/>
  <c r="H80" i="21"/>
  <c r="F220" i="20" s="1"/>
  <c r="C80" i="21"/>
  <c r="F215" i="20" s="1"/>
  <c r="D60" i="21"/>
  <c r="E216" i="20" s="1"/>
  <c r="E60" i="21"/>
  <c r="E217" i="20" s="1"/>
  <c r="F60" i="21"/>
  <c r="E218" i="20" s="1"/>
  <c r="G60" i="21"/>
  <c r="E219" i="20" s="1"/>
  <c r="H60" i="21"/>
  <c r="E220" i="20" s="1"/>
  <c r="C60" i="21"/>
  <c r="E215" i="20" s="1"/>
  <c r="E40" i="21"/>
  <c r="D217" i="20" s="1"/>
  <c r="F40" i="21"/>
  <c r="D218" i="20" s="1"/>
  <c r="G40" i="21"/>
  <c r="D219" i="20" s="1"/>
  <c r="H40" i="21"/>
  <c r="D220" i="20" s="1"/>
  <c r="C40" i="21"/>
  <c r="D215" i="20" s="1"/>
  <c r="D20" i="21"/>
  <c r="C216" i="20" s="1"/>
  <c r="E20" i="21"/>
  <c r="C217" i="20" s="1"/>
  <c r="F20" i="21"/>
  <c r="C218" i="20" s="1"/>
  <c r="G20" i="21"/>
  <c r="C219" i="20" s="1"/>
  <c r="H20" i="21"/>
  <c r="C220" i="20" s="1"/>
  <c r="C20" i="21"/>
  <c r="C215" i="20" s="1"/>
  <c r="E235" i="11"/>
  <c r="F235" i="11"/>
  <c r="G235" i="11"/>
  <c r="H235" i="11"/>
  <c r="J235" i="11"/>
  <c r="K235" i="11"/>
  <c r="L235" i="11"/>
  <c r="M235" i="11"/>
  <c r="N235" i="11"/>
  <c r="O235" i="11"/>
  <c r="P235" i="11"/>
  <c r="Q235" i="11"/>
  <c r="S235" i="11"/>
  <c r="T235" i="11"/>
  <c r="U235" i="11"/>
  <c r="V235" i="11"/>
  <c r="D235" i="11"/>
  <c r="E21" i="20"/>
  <c r="D346" i="11"/>
  <c r="E346" i="11"/>
  <c r="F346" i="11"/>
  <c r="G346" i="11"/>
  <c r="H346" i="11"/>
  <c r="I346" i="11"/>
  <c r="J346" i="11"/>
  <c r="K346" i="11"/>
  <c r="L346" i="11"/>
  <c r="M346" i="11"/>
  <c r="N346" i="11"/>
  <c r="O346" i="11"/>
  <c r="P346" i="11"/>
  <c r="Q346" i="11"/>
  <c r="R346" i="11"/>
  <c r="S346" i="11"/>
  <c r="T346" i="11"/>
  <c r="U346" i="11"/>
  <c r="V346" i="11"/>
  <c r="D326" i="11"/>
  <c r="E326" i="11"/>
  <c r="F326" i="11"/>
  <c r="G326" i="11"/>
  <c r="H326" i="11"/>
  <c r="I326" i="11"/>
  <c r="J326" i="11"/>
  <c r="K326" i="11"/>
  <c r="L326" i="11"/>
  <c r="M326" i="11"/>
  <c r="N326" i="11"/>
  <c r="O326" i="11"/>
  <c r="P326" i="11"/>
  <c r="Q326" i="11"/>
  <c r="R326" i="11"/>
  <c r="S326" i="11"/>
  <c r="T326" i="11"/>
  <c r="U326" i="11"/>
  <c r="V326" i="11"/>
  <c r="D306" i="11"/>
  <c r="E306" i="11"/>
  <c r="F306" i="11"/>
  <c r="G306" i="11"/>
  <c r="H306" i="11"/>
  <c r="I306" i="11"/>
  <c r="J306" i="11"/>
  <c r="K306" i="11"/>
  <c r="L306" i="11"/>
  <c r="M306" i="11"/>
  <c r="N306" i="11"/>
  <c r="O306" i="11"/>
  <c r="P306" i="11"/>
  <c r="Q306" i="11"/>
  <c r="R306" i="11"/>
  <c r="S306" i="11"/>
  <c r="T306" i="11"/>
  <c r="U306" i="11"/>
  <c r="V306" i="11"/>
  <c r="D286" i="11"/>
  <c r="E286" i="11"/>
  <c r="F286" i="11"/>
  <c r="G286" i="11"/>
  <c r="H286" i="11"/>
  <c r="I286" i="11"/>
  <c r="J286" i="11"/>
  <c r="K286" i="11"/>
  <c r="L286" i="11"/>
  <c r="M286" i="11"/>
  <c r="N286" i="11"/>
  <c r="O286" i="11"/>
  <c r="P286" i="11"/>
  <c r="Q286" i="11"/>
  <c r="R286" i="11"/>
  <c r="S286" i="11"/>
  <c r="T286" i="11"/>
  <c r="U286" i="11"/>
  <c r="V286" i="11"/>
  <c r="V266" i="11"/>
  <c r="U266" i="11"/>
  <c r="T266" i="11"/>
  <c r="S266" i="11"/>
  <c r="R266" i="11"/>
  <c r="Q266" i="11"/>
  <c r="P266" i="11"/>
  <c r="O266" i="11"/>
  <c r="N266" i="11"/>
  <c r="M266" i="11"/>
  <c r="L266" i="11"/>
  <c r="K266" i="11"/>
  <c r="J266" i="11"/>
  <c r="I266" i="11"/>
  <c r="H266" i="11"/>
  <c r="G266" i="11"/>
  <c r="F266" i="11"/>
  <c r="E266" i="11"/>
  <c r="D266" i="11"/>
  <c r="F246" i="11"/>
  <c r="G246" i="11"/>
  <c r="H246" i="11"/>
  <c r="I246" i="11"/>
  <c r="J246" i="11"/>
  <c r="K246" i="11"/>
  <c r="L246" i="11"/>
  <c r="M246" i="11"/>
  <c r="N246" i="11"/>
  <c r="O246" i="11"/>
  <c r="P246" i="11"/>
  <c r="Q246" i="11"/>
  <c r="R246" i="11"/>
  <c r="S246" i="11"/>
  <c r="T246" i="11"/>
  <c r="U246" i="11"/>
  <c r="V246" i="11"/>
  <c r="D246" i="11"/>
  <c r="E246" i="11"/>
  <c r="D207" i="20" l="1"/>
  <c r="E207" i="20"/>
  <c r="F207" i="20"/>
  <c r="C207" i="20"/>
  <c r="D21" i="20"/>
  <c r="C206" i="20" s="1"/>
  <c r="F21" i="20"/>
  <c r="C208" i="20" s="1"/>
  <c r="G21" i="20"/>
  <c r="C209" i="20" s="1"/>
  <c r="H21" i="20"/>
  <c r="C210" i="20" s="1"/>
  <c r="C21" i="20"/>
  <c r="C205" i="20" s="1"/>
  <c r="L206" i="20"/>
  <c r="K206" i="20"/>
  <c r="L205" i="20"/>
  <c r="K205" i="20"/>
  <c r="V331" i="11" l="1"/>
  <c r="U331" i="11"/>
  <c r="T331" i="11"/>
  <c r="S331" i="11"/>
  <c r="Q331" i="11"/>
  <c r="P331" i="11"/>
  <c r="N331" i="11"/>
  <c r="M331" i="11"/>
  <c r="L331" i="11"/>
  <c r="K331" i="11"/>
  <c r="J331" i="11"/>
  <c r="I331" i="11"/>
  <c r="H331" i="11"/>
  <c r="G331" i="11"/>
  <c r="F331" i="11"/>
  <c r="D331" i="11"/>
  <c r="V311" i="11"/>
  <c r="U311" i="11"/>
  <c r="T311" i="11"/>
  <c r="S311" i="11"/>
  <c r="Q311" i="11"/>
  <c r="P311" i="11"/>
  <c r="N311" i="11"/>
  <c r="M311" i="11"/>
  <c r="L311" i="11"/>
  <c r="K311" i="11"/>
  <c r="J311" i="11"/>
  <c r="I311" i="11"/>
  <c r="H311" i="11"/>
  <c r="G311" i="11"/>
  <c r="F311" i="11"/>
  <c r="D311" i="11"/>
  <c r="V291" i="11"/>
  <c r="U291" i="11"/>
  <c r="T291" i="11"/>
  <c r="S291" i="11"/>
  <c r="Q291" i="11"/>
  <c r="P291" i="11"/>
  <c r="N291" i="11"/>
  <c r="M291" i="11"/>
  <c r="L291" i="11"/>
  <c r="K291" i="11"/>
  <c r="J291" i="11"/>
  <c r="I291" i="11"/>
  <c r="H291" i="11"/>
  <c r="G291" i="11"/>
  <c r="F291" i="11"/>
  <c r="D291" i="11"/>
  <c r="F271" i="11"/>
  <c r="G271" i="11"/>
  <c r="H271" i="11"/>
  <c r="I271" i="11"/>
  <c r="J271" i="11"/>
  <c r="K271" i="11"/>
  <c r="L271" i="11"/>
  <c r="M271" i="11"/>
  <c r="N271" i="11"/>
  <c r="P271" i="11"/>
  <c r="Q271" i="11"/>
  <c r="S271" i="11"/>
  <c r="T271" i="11"/>
  <c r="U271" i="11"/>
  <c r="V271" i="11"/>
  <c r="D271" i="11"/>
  <c r="F251" i="11"/>
  <c r="G251" i="11"/>
  <c r="H251" i="11"/>
  <c r="I251" i="11"/>
  <c r="J251" i="11"/>
  <c r="K251" i="11"/>
  <c r="L251" i="11"/>
  <c r="M251" i="11"/>
  <c r="N251" i="11"/>
  <c r="P251" i="11"/>
  <c r="Q251" i="11"/>
  <c r="S251" i="11"/>
  <c r="T251" i="11"/>
  <c r="U251" i="11"/>
  <c r="V251" i="11"/>
  <c r="D251" i="11"/>
  <c r="F231" i="11"/>
  <c r="G231" i="11"/>
  <c r="H231" i="11"/>
  <c r="I231" i="11"/>
  <c r="J231" i="11"/>
  <c r="K231" i="11"/>
  <c r="L231" i="11"/>
  <c r="M231" i="11"/>
  <c r="N231" i="11"/>
  <c r="P231" i="11"/>
  <c r="Q231" i="11"/>
  <c r="S231" i="11"/>
  <c r="T231" i="11"/>
  <c r="U231" i="11"/>
  <c r="V231" i="11"/>
  <c r="D231" i="11"/>
  <c r="R333" i="11"/>
  <c r="R332" i="11"/>
  <c r="R313" i="11"/>
  <c r="R312" i="11"/>
  <c r="R293" i="11"/>
  <c r="R292" i="11"/>
  <c r="R273" i="11"/>
  <c r="R272" i="11"/>
  <c r="R253" i="11"/>
  <c r="R252" i="11"/>
  <c r="T238" i="11"/>
  <c r="S238" i="11"/>
  <c r="N238" i="11"/>
  <c r="M238" i="11"/>
  <c r="L238" i="11"/>
  <c r="K238" i="11"/>
  <c r="R233" i="11"/>
  <c r="R232" i="11"/>
  <c r="E12" i="12" l="1"/>
  <c r="M35" i="13" l="1"/>
  <c r="Q35" i="13" s="1"/>
  <c r="U35" i="13" s="1"/>
  <c r="Y35" i="13" s="1"/>
  <c r="AC35" i="13" s="1"/>
  <c r="AG35" i="13" s="1"/>
  <c r="S36" i="13"/>
  <c r="W36" i="13" s="1"/>
  <c r="AA36" i="13" s="1"/>
  <c r="AE36" i="13" s="1"/>
  <c r="AI36" i="13" s="1"/>
  <c r="J9" i="12" l="1"/>
  <c r="I9" i="12"/>
  <c r="F201" i="20" l="1"/>
  <c r="L208" i="20" s="1"/>
  <c r="E201" i="20"/>
  <c r="D201" i="20"/>
  <c r="C201" i="20"/>
  <c r="H181" i="20"/>
  <c r="K210" i="20" s="1"/>
  <c r="G181" i="20"/>
  <c r="F181" i="20"/>
  <c r="K208" i="20" s="1"/>
  <c r="E181" i="20"/>
  <c r="D181" i="20"/>
  <c r="C181" i="20"/>
  <c r="G49" i="20"/>
  <c r="G50" i="20" s="1"/>
  <c r="G51" i="20" s="1"/>
  <c r="G52" i="20" s="1"/>
  <c r="G53" i="20" s="1"/>
  <c r="G29" i="20"/>
  <c r="G30" i="20" s="1"/>
  <c r="G31" i="20" s="1"/>
  <c r="G32" i="20" s="1"/>
  <c r="G33" i="20" s="1"/>
  <c r="G9" i="20"/>
  <c r="G10" i="20" s="1"/>
  <c r="G11" i="20" s="1"/>
  <c r="G12" i="20" s="1"/>
  <c r="G13" i="20" s="1"/>
  <c r="J117" i="11"/>
  <c r="J138" i="11" s="1"/>
  <c r="J159" i="11" s="1"/>
  <c r="J180" i="11" s="1"/>
  <c r="S202" i="11"/>
  <c r="R202" i="11"/>
  <c r="Q202" i="11"/>
  <c r="P202" i="11"/>
  <c r="N202" i="11"/>
  <c r="M202" i="11"/>
  <c r="L202" i="11"/>
  <c r="K202" i="11"/>
  <c r="S160" i="11"/>
  <c r="R160" i="11"/>
  <c r="Q160" i="11"/>
  <c r="P160" i="11"/>
  <c r="N160" i="11"/>
  <c r="M160" i="11"/>
  <c r="L160" i="11"/>
  <c r="K160" i="11"/>
  <c r="R118" i="11"/>
  <c r="P118" i="11"/>
  <c r="M118" i="11"/>
  <c r="K118" i="11"/>
  <c r="P109" i="11"/>
  <c r="S109" i="11"/>
  <c r="T109" i="11"/>
  <c r="S111" i="11"/>
  <c r="T111" i="11"/>
  <c r="S114" i="11"/>
  <c r="R114" i="11"/>
  <c r="T219" i="11"/>
  <c r="S219" i="11"/>
  <c r="R219" i="11"/>
  <c r="Q219" i="11"/>
  <c r="P219" i="11"/>
  <c r="N219" i="11"/>
  <c r="M219" i="11"/>
  <c r="L219" i="11"/>
  <c r="K219" i="11"/>
  <c r="J219" i="11"/>
  <c r="H219" i="11"/>
  <c r="G219" i="11"/>
  <c r="F219" i="11"/>
  <c r="E219" i="11"/>
  <c r="D219" i="11"/>
  <c r="T198" i="11"/>
  <c r="S198" i="11"/>
  <c r="R198" i="11"/>
  <c r="Q198" i="11"/>
  <c r="P198" i="11"/>
  <c r="N198" i="11"/>
  <c r="M198" i="11"/>
  <c r="L198" i="11"/>
  <c r="K198" i="11"/>
  <c r="J198" i="11"/>
  <c r="H198" i="11"/>
  <c r="G198" i="11"/>
  <c r="F198" i="11"/>
  <c r="E198" i="11"/>
  <c r="D198" i="11"/>
  <c r="T177" i="11"/>
  <c r="S177" i="11"/>
  <c r="R177" i="11"/>
  <c r="Q177" i="11"/>
  <c r="P177" i="11"/>
  <c r="N177" i="11"/>
  <c r="M177" i="11"/>
  <c r="L177" i="11"/>
  <c r="K177" i="11"/>
  <c r="J177" i="11"/>
  <c r="H177" i="11"/>
  <c r="G177" i="11"/>
  <c r="F177" i="11"/>
  <c r="E177" i="11"/>
  <c r="D177" i="11"/>
  <c r="T156" i="11"/>
  <c r="S156" i="11"/>
  <c r="R156" i="11"/>
  <c r="Q156" i="11"/>
  <c r="P156" i="11"/>
  <c r="N156" i="11"/>
  <c r="M156" i="11"/>
  <c r="L156" i="11"/>
  <c r="K156" i="11"/>
  <c r="J156" i="11"/>
  <c r="H156" i="11"/>
  <c r="G156" i="11"/>
  <c r="F156" i="11"/>
  <c r="E156" i="11"/>
  <c r="D156" i="11"/>
  <c r="T135" i="11"/>
  <c r="S135" i="11"/>
  <c r="R135" i="11"/>
  <c r="Q135" i="11"/>
  <c r="P135" i="11"/>
  <c r="N135" i="11"/>
  <c r="M135" i="11"/>
  <c r="L135" i="11"/>
  <c r="K135" i="11"/>
  <c r="J135" i="11"/>
  <c r="H135" i="11"/>
  <c r="G135" i="11"/>
  <c r="F135" i="11"/>
  <c r="E135" i="11"/>
  <c r="D135" i="11"/>
  <c r="T114" i="11"/>
  <c r="Q114" i="11"/>
  <c r="P114" i="11"/>
  <c r="N114" i="11"/>
  <c r="M114" i="11"/>
  <c r="L114" i="11"/>
  <c r="K114" i="11"/>
  <c r="J114" i="11"/>
  <c r="G114" i="11"/>
  <c r="F114" i="11"/>
  <c r="E114" i="11"/>
  <c r="D114" i="11"/>
  <c r="T214" i="11"/>
  <c r="S214" i="11"/>
  <c r="P214" i="11"/>
  <c r="M214" i="11"/>
  <c r="K214" i="11"/>
  <c r="J214" i="11"/>
  <c r="H214" i="11"/>
  <c r="G214" i="11"/>
  <c r="F214" i="11"/>
  <c r="D214" i="11"/>
  <c r="T193" i="11"/>
  <c r="S193" i="11"/>
  <c r="P193" i="11"/>
  <c r="M193" i="11"/>
  <c r="K193" i="11"/>
  <c r="J193" i="11"/>
  <c r="H193" i="11"/>
  <c r="G193" i="11"/>
  <c r="F193" i="11"/>
  <c r="D193" i="11"/>
  <c r="T172" i="11"/>
  <c r="S172" i="11"/>
  <c r="P172" i="11"/>
  <c r="M172" i="11"/>
  <c r="K172" i="11"/>
  <c r="J172" i="11"/>
  <c r="H172" i="11"/>
  <c r="G172" i="11"/>
  <c r="F172" i="11"/>
  <c r="D172" i="11"/>
  <c r="T151" i="11"/>
  <c r="S151" i="11"/>
  <c r="P151" i="11"/>
  <c r="M151" i="11"/>
  <c r="K151" i="11"/>
  <c r="J151" i="11"/>
  <c r="H151" i="11"/>
  <c r="G151" i="11"/>
  <c r="F151" i="11"/>
  <c r="D151" i="11"/>
  <c r="T130" i="11"/>
  <c r="S130" i="11"/>
  <c r="P130" i="11"/>
  <c r="M130" i="11"/>
  <c r="K130" i="11"/>
  <c r="J130" i="11"/>
  <c r="H130" i="11"/>
  <c r="G130" i="11"/>
  <c r="F130" i="11"/>
  <c r="D130" i="11"/>
  <c r="M109" i="11"/>
  <c r="K109" i="11"/>
  <c r="J109" i="11"/>
  <c r="H109" i="11"/>
  <c r="G109" i="11"/>
  <c r="F109" i="11"/>
  <c r="D109" i="11"/>
  <c r="T46" i="11"/>
  <c r="K34" i="16"/>
  <c r="O34" i="16" s="1"/>
  <c r="S34" i="16" s="1"/>
  <c r="W34" i="16" s="1"/>
  <c r="AA34" i="16" s="1"/>
  <c r="AE34" i="16" s="1"/>
  <c r="O36" i="16"/>
  <c r="S36" i="16" s="1"/>
  <c r="W36" i="16" s="1"/>
  <c r="AA36" i="16" s="1"/>
  <c r="AE36" i="16" s="1"/>
  <c r="O35" i="16"/>
  <c r="S35" i="16" s="1"/>
  <c r="W35" i="16" s="1"/>
  <c r="AA35" i="16" s="1"/>
  <c r="AE35" i="16" s="1"/>
  <c r="O33" i="16"/>
  <c r="S33" i="16" s="1"/>
  <c r="W33" i="16" s="1"/>
  <c r="AA33" i="16" s="1"/>
  <c r="AE33" i="16" s="1"/>
  <c r="P36" i="13"/>
  <c r="T36" i="13" s="1"/>
  <c r="X36" i="13" s="1"/>
  <c r="AB36" i="13" s="1"/>
  <c r="AF36" i="13" s="1"/>
  <c r="AF35" i="13"/>
  <c r="L34" i="13"/>
  <c r="P34" i="13" s="1"/>
  <c r="T34" i="13" s="1"/>
  <c r="X34" i="13" s="1"/>
  <c r="AB34" i="13" s="1"/>
  <c r="AF34" i="13" s="1"/>
  <c r="L33" i="13"/>
  <c r="P33" i="13" s="1"/>
  <c r="T33" i="13" s="1"/>
  <c r="X33" i="13" s="1"/>
  <c r="S221" i="11"/>
  <c r="R221" i="11"/>
  <c r="Q221" i="11"/>
  <c r="P221" i="11"/>
  <c r="N221" i="11"/>
  <c r="M221" i="11"/>
  <c r="L221" i="11"/>
  <c r="K221" i="11"/>
  <c r="J221" i="11"/>
  <c r="I221" i="11"/>
  <c r="H221" i="11"/>
  <c r="G221" i="11"/>
  <c r="F221" i="11"/>
  <c r="D221" i="11"/>
  <c r="D225" i="11"/>
  <c r="E225" i="11"/>
  <c r="F225" i="11"/>
  <c r="E201" i="11"/>
  <c r="S200" i="11"/>
  <c r="Q200" i="11"/>
  <c r="N200" i="11"/>
  <c r="L200" i="11"/>
  <c r="E180" i="11"/>
  <c r="S179" i="11"/>
  <c r="Q179" i="11"/>
  <c r="N179" i="11"/>
  <c r="L179" i="11"/>
  <c r="S158" i="11"/>
  <c r="Q158" i="11"/>
  <c r="N158" i="11"/>
  <c r="L158" i="11"/>
  <c r="S137" i="11"/>
  <c r="Q137" i="11"/>
  <c r="N137" i="11"/>
  <c r="L137" i="11"/>
  <c r="S116" i="11"/>
  <c r="Q116" i="11"/>
  <c r="N116" i="11"/>
  <c r="L116" i="11"/>
  <c r="E159" i="11"/>
  <c r="E138" i="11"/>
  <c r="L138" i="11"/>
  <c r="L159" i="11" s="1"/>
  <c r="L180" i="11" s="1"/>
  <c r="L201" i="11" s="1"/>
  <c r="N138" i="11"/>
  <c r="N159" i="11" s="1"/>
  <c r="N180" i="11" s="1"/>
  <c r="N201" i="11" s="1"/>
  <c r="Q138" i="11"/>
  <c r="Q159" i="11" s="1"/>
  <c r="Q180" i="11" s="1"/>
  <c r="Q201" i="11" s="1"/>
  <c r="S138" i="11"/>
  <c r="S159" i="11" s="1"/>
  <c r="S180" i="11" s="1"/>
  <c r="S201" i="11" s="1"/>
  <c r="R117" i="11"/>
  <c r="R138" i="11" s="1"/>
  <c r="R159" i="11" s="1"/>
  <c r="R180" i="11" s="1"/>
  <c r="R201" i="11" s="1"/>
  <c r="R115" i="11"/>
  <c r="R136" i="11" s="1"/>
  <c r="P117" i="11"/>
  <c r="P138" i="11" s="1"/>
  <c r="P159" i="11" s="1"/>
  <c r="P180" i="11" s="1"/>
  <c r="P201" i="11" s="1"/>
  <c r="P115" i="11"/>
  <c r="P136" i="11" s="1"/>
  <c r="M117" i="11"/>
  <c r="M138" i="11" s="1"/>
  <c r="M159" i="11" s="1"/>
  <c r="M180" i="11" s="1"/>
  <c r="M201" i="11" s="1"/>
  <c r="M115" i="11"/>
  <c r="M136" i="11" s="1"/>
  <c r="K117" i="11"/>
  <c r="K138" i="11" s="1"/>
  <c r="K159" i="11" s="1"/>
  <c r="K180" i="11" s="1"/>
  <c r="K201" i="11" s="1"/>
  <c r="K115" i="11"/>
  <c r="K136" i="11" s="1"/>
  <c r="J115" i="11"/>
  <c r="J116" i="11" s="1"/>
  <c r="I117" i="11"/>
  <c r="I138" i="11" s="1"/>
  <c r="I159" i="11" s="1"/>
  <c r="I180" i="11" s="1"/>
  <c r="I201" i="11" s="1"/>
  <c r="I115" i="11"/>
  <c r="I136" i="11" s="1"/>
  <c r="H117" i="11"/>
  <c r="H138" i="11" s="1"/>
  <c r="H159" i="11" s="1"/>
  <c r="H180" i="11" s="1"/>
  <c r="H201" i="11" s="1"/>
  <c r="H115" i="11"/>
  <c r="H116" i="11" s="1"/>
  <c r="G117" i="11"/>
  <c r="G138" i="11" s="1"/>
  <c r="G159" i="11" s="1"/>
  <c r="G180" i="11" s="1"/>
  <c r="G201" i="11" s="1"/>
  <c r="G115" i="11"/>
  <c r="G136" i="11" s="1"/>
  <c r="F117" i="11"/>
  <c r="F138" i="11" s="1"/>
  <c r="F159" i="11" s="1"/>
  <c r="F180" i="11" s="1"/>
  <c r="F201" i="11" s="1"/>
  <c r="F115" i="11"/>
  <c r="F116" i="11" s="1"/>
  <c r="D117" i="11"/>
  <c r="D138" i="11" s="1"/>
  <c r="D159" i="11" s="1"/>
  <c r="D180" i="11" s="1"/>
  <c r="D201" i="11" s="1"/>
  <c r="D115" i="11"/>
  <c r="D136" i="11" s="1"/>
  <c r="T225" i="11"/>
  <c r="S225" i="11"/>
  <c r="R225" i="11"/>
  <c r="Q225" i="11"/>
  <c r="P225" i="11"/>
  <c r="N225" i="11"/>
  <c r="M225" i="11"/>
  <c r="L225" i="11"/>
  <c r="K225" i="11"/>
  <c r="J225" i="11"/>
  <c r="I225" i="11"/>
  <c r="H225" i="11"/>
  <c r="G225" i="11"/>
  <c r="T204" i="11"/>
  <c r="S204" i="11"/>
  <c r="R204" i="11"/>
  <c r="Q204" i="11"/>
  <c r="P204" i="11"/>
  <c r="N204" i="11"/>
  <c r="M204" i="11"/>
  <c r="L204" i="11"/>
  <c r="K204" i="11"/>
  <c r="J204" i="11"/>
  <c r="I204" i="11"/>
  <c r="H204" i="11"/>
  <c r="G204" i="11"/>
  <c r="F204" i="11"/>
  <c r="E204" i="11"/>
  <c r="D204" i="11"/>
  <c r="T183" i="11"/>
  <c r="S183" i="11"/>
  <c r="R183" i="11"/>
  <c r="Q183" i="11"/>
  <c r="P183" i="11"/>
  <c r="N183" i="11"/>
  <c r="M183" i="11"/>
  <c r="L183" i="11"/>
  <c r="K183" i="11"/>
  <c r="J183" i="11"/>
  <c r="I183" i="11"/>
  <c r="H183" i="11"/>
  <c r="G183" i="11"/>
  <c r="F183" i="11"/>
  <c r="E183" i="11"/>
  <c r="D183" i="11"/>
  <c r="T162" i="11"/>
  <c r="S162" i="11"/>
  <c r="R162" i="11"/>
  <c r="Q162" i="11"/>
  <c r="P162" i="11"/>
  <c r="N162" i="11"/>
  <c r="M162" i="11"/>
  <c r="L162" i="11"/>
  <c r="K162" i="11"/>
  <c r="J162" i="11"/>
  <c r="I162" i="11"/>
  <c r="H162" i="11"/>
  <c r="G162" i="11"/>
  <c r="F162" i="11"/>
  <c r="E162" i="11"/>
  <c r="D162" i="11"/>
  <c r="T141" i="11"/>
  <c r="S141" i="11"/>
  <c r="R141" i="11"/>
  <c r="Q141" i="11"/>
  <c r="P141" i="11"/>
  <c r="N141" i="11"/>
  <c r="M141" i="11"/>
  <c r="L141" i="11"/>
  <c r="K141" i="11"/>
  <c r="J141" i="11"/>
  <c r="I141" i="11"/>
  <c r="H141" i="11"/>
  <c r="G141" i="11"/>
  <c r="F141" i="11"/>
  <c r="E141" i="11"/>
  <c r="D141" i="11"/>
  <c r="E120" i="11"/>
  <c r="F120" i="11"/>
  <c r="G120" i="11"/>
  <c r="H120" i="11"/>
  <c r="I120" i="11"/>
  <c r="J120" i="11"/>
  <c r="K120" i="11"/>
  <c r="L120" i="11"/>
  <c r="M120" i="11"/>
  <c r="N120" i="11"/>
  <c r="P120" i="11"/>
  <c r="Q120" i="11"/>
  <c r="R120" i="11"/>
  <c r="S120" i="11"/>
  <c r="T120" i="11"/>
  <c r="D120" i="11"/>
  <c r="T217" i="11"/>
  <c r="S217" i="11"/>
  <c r="N217" i="11"/>
  <c r="M217" i="11"/>
  <c r="L217" i="11"/>
  <c r="K217" i="11"/>
  <c r="I217" i="11"/>
  <c r="T216" i="11"/>
  <c r="S216" i="11"/>
  <c r="N216" i="11"/>
  <c r="M216" i="11"/>
  <c r="L216" i="11"/>
  <c r="K216" i="11"/>
  <c r="J216" i="11"/>
  <c r="H216" i="11"/>
  <c r="G216" i="11"/>
  <c r="F216" i="11"/>
  <c r="E216" i="11"/>
  <c r="D216" i="11"/>
  <c r="T196" i="11"/>
  <c r="S196" i="11"/>
  <c r="N196" i="11"/>
  <c r="M196" i="11"/>
  <c r="L196" i="11"/>
  <c r="K196" i="11"/>
  <c r="J196" i="11"/>
  <c r="I196" i="11"/>
  <c r="T195" i="11"/>
  <c r="S195" i="11"/>
  <c r="N195" i="11"/>
  <c r="M195" i="11"/>
  <c r="L195" i="11"/>
  <c r="K195" i="11"/>
  <c r="J195" i="11"/>
  <c r="H195" i="11"/>
  <c r="G195" i="11"/>
  <c r="F195" i="11"/>
  <c r="E195" i="11"/>
  <c r="D195" i="11"/>
  <c r="T175" i="11"/>
  <c r="S175" i="11"/>
  <c r="N175" i="11"/>
  <c r="M175" i="11"/>
  <c r="L175" i="11"/>
  <c r="K175" i="11"/>
  <c r="J175" i="11"/>
  <c r="I175" i="11"/>
  <c r="H175" i="11"/>
  <c r="F175" i="11"/>
  <c r="T174" i="11"/>
  <c r="S174" i="11"/>
  <c r="N174" i="11"/>
  <c r="M174" i="11"/>
  <c r="L174" i="11"/>
  <c r="K174" i="11"/>
  <c r="J174" i="11"/>
  <c r="H174" i="11"/>
  <c r="G174" i="11"/>
  <c r="F174" i="11"/>
  <c r="E174" i="11"/>
  <c r="D174" i="11"/>
  <c r="T154" i="11"/>
  <c r="S154" i="11"/>
  <c r="N154" i="11"/>
  <c r="M154" i="11"/>
  <c r="L154" i="11"/>
  <c r="K154" i="11"/>
  <c r="J154" i="11"/>
  <c r="I154" i="11"/>
  <c r="H154" i="11"/>
  <c r="F154" i="11"/>
  <c r="T153" i="11"/>
  <c r="S153" i="11"/>
  <c r="N153" i="11"/>
  <c r="M153" i="11"/>
  <c r="L153" i="11"/>
  <c r="K153" i="11"/>
  <c r="J153" i="11"/>
  <c r="H153" i="11"/>
  <c r="G153" i="11"/>
  <c r="F153" i="11"/>
  <c r="E153" i="11"/>
  <c r="D153" i="11"/>
  <c r="E132" i="11"/>
  <c r="F132" i="11"/>
  <c r="G132" i="11"/>
  <c r="H132" i="11"/>
  <c r="J132" i="11"/>
  <c r="K132" i="11"/>
  <c r="L132" i="11"/>
  <c r="M132" i="11"/>
  <c r="N132" i="11"/>
  <c r="S132" i="11"/>
  <c r="T132" i="11"/>
  <c r="D132" i="11"/>
  <c r="T133" i="11"/>
  <c r="S133" i="11"/>
  <c r="M133" i="11"/>
  <c r="N133" i="11"/>
  <c r="L133" i="11"/>
  <c r="K133" i="11"/>
  <c r="I133" i="11"/>
  <c r="G133" i="11"/>
  <c r="F133" i="11"/>
  <c r="H112" i="11"/>
  <c r="I112" i="11"/>
  <c r="J112" i="11"/>
  <c r="E111" i="11"/>
  <c r="F111" i="11"/>
  <c r="G111" i="11"/>
  <c r="H111" i="11"/>
  <c r="J111" i="11"/>
  <c r="K111" i="11"/>
  <c r="L111" i="11"/>
  <c r="M111" i="11"/>
  <c r="N111" i="11"/>
  <c r="D111" i="11"/>
  <c r="G112" i="11"/>
  <c r="F112" i="11"/>
  <c r="T210" i="11"/>
  <c r="S210" i="11"/>
  <c r="Q210" i="11"/>
  <c r="P210" i="11"/>
  <c r="N210" i="11"/>
  <c r="M210" i="11"/>
  <c r="L210" i="11"/>
  <c r="K210" i="11"/>
  <c r="J210" i="11"/>
  <c r="I210" i="11"/>
  <c r="H210" i="11"/>
  <c r="G210" i="11"/>
  <c r="F210" i="11"/>
  <c r="D210" i="11"/>
  <c r="T189" i="11"/>
  <c r="S189" i="11"/>
  <c r="Q189" i="11"/>
  <c r="P189" i="11"/>
  <c r="N189" i="11"/>
  <c r="M189" i="11"/>
  <c r="L189" i="11"/>
  <c r="K189" i="11"/>
  <c r="J189" i="11"/>
  <c r="I189" i="11"/>
  <c r="H189" i="11"/>
  <c r="G189" i="11"/>
  <c r="F189" i="11"/>
  <c r="D189" i="11"/>
  <c r="T168" i="11"/>
  <c r="S168" i="11"/>
  <c r="Q168" i="11"/>
  <c r="P168" i="11"/>
  <c r="N168" i="11"/>
  <c r="M168" i="11"/>
  <c r="L168" i="11"/>
  <c r="K168" i="11"/>
  <c r="J168" i="11"/>
  <c r="I168" i="11"/>
  <c r="H168" i="11"/>
  <c r="G168" i="11"/>
  <c r="F168" i="11"/>
  <c r="D168" i="11"/>
  <c r="T147" i="11"/>
  <c r="S147" i="11"/>
  <c r="Q147" i="11"/>
  <c r="P147" i="11"/>
  <c r="N147" i="11"/>
  <c r="M147" i="11"/>
  <c r="L147" i="11"/>
  <c r="K147" i="11"/>
  <c r="J147" i="11"/>
  <c r="I147" i="11"/>
  <c r="H147" i="11"/>
  <c r="G147" i="11"/>
  <c r="F147" i="11"/>
  <c r="D147" i="11"/>
  <c r="T126" i="11"/>
  <c r="S126" i="11"/>
  <c r="Q126" i="11"/>
  <c r="P126" i="11"/>
  <c r="N126" i="11"/>
  <c r="M126" i="11"/>
  <c r="L126" i="11"/>
  <c r="K126" i="11"/>
  <c r="J126" i="11"/>
  <c r="I126" i="11"/>
  <c r="H126" i="11"/>
  <c r="G126" i="11"/>
  <c r="F126" i="11"/>
  <c r="D126" i="11"/>
  <c r="T105" i="11"/>
  <c r="S105" i="11"/>
  <c r="Q105" i="11"/>
  <c r="P105" i="11"/>
  <c r="M105" i="11"/>
  <c r="K105" i="11"/>
  <c r="J105" i="11"/>
  <c r="I105" i="11"/>
  <c r="H105" i="11"/>
  <c r="G105" i="11"/>
  <c r="F105" i="11"/>
  <c r="D105" i="11"/>
  <c r="R212" i="11"/>
  <c r="R211" i="11"/>
  <c r="R191" i="11"/>
  <c r="R190" i="11"/>
  <c r="R170" i="11"/>
  <c r="R169" i="11"/>
  <c r="R149" i="11"/>
  <c r="R148" i="11"/>
  <c r="R128" i="11"/>
  <c r="R127" i="11"/>
  <c r="E117" i="11"/>
  <c r="D112" i="11"/>
  <c r="R107" i="11"/>
  <c r="R106" i="11"/>
  <c r="N105" i="11"/>
  <c r="L105" i="11"/>
  <c r="T57" i="11"/>
  <c r="S57" i="11"/>
  <c r="R57" i="11"/>
  <c r="Q57" i="11"/>
  <c r="P57" i="11"/>
  <c r="N57" i="11"/>
  <c r="M57" i="11"/>
  <c r="L57" i="11"/>
  <c r="K57" i="11"/>
  <c r="J57" i="11"/>
  <c r="I57" i="11"/>
  <c r="H57" i="11"/>
  <c r="G57" i="11"/>
  <c r="F57" i="11"/>
  <c r="E57" i="11"/>
  <c r="D57" i="11"/>
  <c r="P55" i="11"/>
  <c r="M55" i="11"/>
  <c r="K55" i="11"/>
  <c r="J55" i="11"/>
  <c r="F55" i="11"/>
  <c r="E55" i="11"/>
  <c r="P54" i="11"/>
  <c r="M54" i="11"/>
  <c r="K54" i="11"/>
  <c r="J54" i="11"/>
  <c r="I54" i="11"/>
  <c r="H54" i="11"/>
  <c r="G54" i="11"/>
  <c r="E54" i="11"/>
  <c r="D54" i="11"/>
  <c r="S53" i="11"/>
  <c r="R53" i="11"/>
  <c r="Q53" i="11"/>
  <c r="P53" i="11"/>
  <c r="N53" i="11"/>
  <c r="M53" i="11"/>
  <c r="L53" i="11"/>
  <c r="K53" i="11"/>
  <c r="J53" i="11"/>
  <c r="I53" i="11"/>
  <c r="H53" i="11"/>
  <c r="G53" i="11"/>
  <c r="F53" i="11"/>
  <c r="D53" i="11"/>
  <c r="T51" i="11"/>
  <c r="S51" i="11"/>
  <c r="R51" i="11"/>
  <c r="Q51" i="11"/>
  <c r="P51" i="11"/>
  <c r="N51" i="11"/>
  <c r="M51" i="11"/>
  <c r="L51" i="11"/>
  <c r="K51" i="11"/>
  <c r="J51" i="11"/>
  <c r="H51" i="11"/>
  <c r="G51" i="11"/>
  <c r="F51" i="11"/>
  <c r="E51" i="11"/>
  <c r="D51" i="11"/>
  <c r="S49" i="11"/>
  <c r="K49" i="11"/>
  <c r="J49" i="11"/>
  <c r="I49" i="11"/>
  <c r="H49" i="11"/>
  <c r="G49" i="11"/>
  <c r="F49" i="11"/>
  <c r="D49" i="11"/>
  <c r="T48" i="11"/>
  <c r="S48" i="11"/>
  <c r="N48" i="11"/>
  <c r="M48" i="11"/>
  <c r="L48" i="11"/>
  <c r="K48" i="11"/>
  <c r="J48" i="11"/>
  <c r="H48" i="11"/>
  <c r="G48" i="11"/>
  <c r="F48" i="11"/>
  <c r="E48" i="11"/>
  <c r="D48" i="11"/>
  <c r="S46" i="11"/>
  <c r="P46" i="11"/>
  <c r="M46" i="11"/>
  <c r="K46" i="11"/>
  <c r="J46" i="11"/>
  <c r="H46" i="11"/>
  <c r="G46" i="11"/>
  <c r="F46" i="11"/>
  <c r="D46" i="11"/>
  <c r="T44" i="11"/>
  <c r="S44" i="11"/>
  <c r="R44" i="11"/>
  <c r="Q44" i="11"/>
  <c r="P44" i="11"/>
  <c r="N44" i="11"/>
  <c r="M44" i="11"/>
  <c r="L44" i="11"/>
  <c r="K44" i="11"/>
  <c r="J44" i="11"/>
  <c r="I44" i="11"/>
  <c r="H44" i="11"/>
  <c r="G44" i="11"/>
  <c r="F44" i="11"/>
  <c r="E44" i="11"/>
  <c r="D44" i="11"/>
  <c r="T43" i="11"/>
  <c r="S43" i="11"/>
  <c r="R43" i="11"/>
  <c r="Q43" i="11"/>
  <c r="P43" i="11"/>
  <c r="N43" i="11"/>
  <c r="M43" i="11"/>
  <c r="L43" i="11"/>
  <c r="K43" i="11"/>
  <c r="J43" i="11"/>
  <c r="I43" i="11"/>
  <c r="H43" i="11"/>
  <c r="G43" i="11"/>
  <c r="F43" i="11"/>
  <c r="E43" i="11"/>
  <c r="D43" i="11"/>
  <c r="T42" i="11"/>
  <c r="S42" i="11"/>
  <c r="Q42" i="11"/>
  <c r="P42" i="11"/>
  <c r="N42" i="11"/>
  <c r="M42" i="11"/>
  <c r="L42" i="11"/>
  <c r="K42" i="11"/>
  <c r="J42" i="11"/>
  <c r="I42" i="11"/>
  <c r="H42" i="11"/>
  <c r="G42" i="11"/>
  <c r="F42" i="11"/>
  <c r="D42" i="11"/>
  <c r="K13" i="11"/>
  <c r="S91" i="11"/>
  <c r="K91" i="11"/>
  <c r="J91" i="11"/>
  <c r="I91" i="11"/>
  <c r="H91" i="11"/>
  <c r="G91" i="11"/>
  <c r="F91" i="11"/>
  <c r="D91" i="11"/>
  <c r="S70" i="11"/>
  <c r="K70" i="11"/>
  <c r="J70" i="11"/>
  <c r="I70" i="11"/>
  <c r="H70" i="11"/>
  <c r="G70" i="11"/>
  <c r="F70" i="11"/>
  <c r="D70" i="11"/>
  <c r="S28" i="11"/>
  <c r="K28" i="11"/>
  <c r="T99" i="11"/>
  <c r="S99" i="11"/>
  <c r="R99" i="11"/>
  <c r="Q99" i="11"/>
  <c r="P99" i="11"/>
  <c r="N99" i="11"/>
  <c r="M99" i="11"/>
  <c r="L99" i="11"/>
  <c r="K99" i="11"/>
  <c r="J99" i="11"/>
  <c r="I99" i="11"/>
  <c r="H99" i="11"/>
  <c r="G99" i="11"/>
  <c r="F99" i="11"/>
  <c r="E99" i="11"/>
  <c r="D99" i="11"/>
  <c r="S95" i="11"/>
  <c r="R95" i="11"/>
  <c r="Q95" i="11"/>
  <c r="P95" i="11"/>
  <c r="N95" i="11"/>
  <c r="M95" i="11"/>
  <c r="L95" i="11"/>
  <c r="K95" i="11"/>
  <c r="J95" i="11"/>
  <c r="I95" i="11"/>
  <c r="H95" i="11"/>
  <c r="G95" i="11"/>
  <c r="F95" i="11"/>
  <c r="D95" i="11"/>
  <c r="T93" i="11"/>
  <c r="S93" i="11"/>
  <c r="R93" i="11"/>
  <c r="Q93" i="11"/>
  <c r="P93" i="11"/>
  <c r="N93" i="11"/>
  <c r="M93" i="11"/>
  <c r="L93" i="11"/>
  <c r="K93" i="11"/>
  <c r="J93" i="11"/>
  <c r="H93" i="11"/>
  <c r="G93" i="11"/>
  <c r="F93" i="11"/>
  <c r="E93" i="11"/>
  <c r="D93" i="11"/>
  <c r="T90" i="11"/>
  <c r="S90" i="11"/>
  <c r="N90" i="11"/>
  <c r="M90" i="11"/>
  <c r="L90" i="11"/>
  <c r="K90" i="11"/>
  <c r="J90" i="11"/>
  <c r="H90" i="11"/>
  <c r="G90" i="11"/>
  <c r="F90" i="11"/>
  <c r="E90" i="11"/>
  <c r="D90" i="11"/>
  <c r="T88" i="11"/>
  <c r="S88" i="11"/>
  <c r="P88" i="11"/>
  <c r="M88" i="11"/>
  <c r="K88" i="11"/>
  <c r="J88" i="11"/>
  <c r="H88" i="11"/>
  <c r="G88" i="11"/>
  <c r="F88" i="11"/>
  <c r="D88" i="11"/>
  <c r="T86" i="11"/>
  <c r="S86" i="11"/>
  <c r="R86" i="11"/>
  <c r="Q86" i="11"/>
  <c r="P86" i="11"/>
  <c r="N86" i="11"/>
  <c r="M86" i="11"/>
  <c r="L86" i="11"/>
  <c r="K86" i="11"/>
  <c r="J86" i="11"/>
  <c r="I86" i="11"/>
  <c r="H86" i="11"/>
  <c r="G86" i="11"/>
  <c r="F86" i="11"/>
  <c r="D86" i="11"/>
  <c r="T85" i="11"/>
  <c r="S85" i="11"/>
  <c r="R85" i="11"/>
  <c r="Q85" i="11"/>
  <c r="P85" i="11"/>
  <c r="N85" i="11"/>
  <c r="M85" i="11"/>
  <c r="L85" i="11"/>
  <c r="K85" i="11"/>
  <c r="J85" i="11"/>
  <c r="I85" i="11"/>
  <c r="H85" i="11"/>
  <c r="G85" i="11"/>
  <c r="F85" i="11"/>
  <c r="D85" i="11"/>
  <c r="T84" i="11"/>
  <c r="S84" i="11"/>
  <c r="Q84" i="11"/>
  <c r="P84" i="11"/>
  <c r="N84" i="11"/>
  <c r="M84" i="11"/>
  <c r="L84" i="11"/>
  <c r="K84" i="11"/>
  <c r="J84" i="11"/>
  <c r="I84" i="11"/>
  <c r="H84" i="11"/>
  <c r="G84" i="11"/>
  <c r="F84" i="11"/>
  <c r="D84" i="11"/>
  <c r="T78" i="11"/>
  <c r="S78" i="11"/>
  <c r="R78" i="11"/>
  <c r="Q78" i="11"/>
  <c r="P78" i="11"/>
  <c r="N78" i="11"/>
  <c r="M78" i="11"/>
  <c r="L78" i="11"/>
  <c r="K78" i="11"/>
  <c r="J78" i="11"/>
  <c r="I78" i="11"/>
  <c r="H78" i="11"/>
  <c r="G78" i="11"/>
  <c r="F78" i="11"/>
  <c r="E78" i="11"/>
  <c r="D78" i="11"/>
  <c r="S74" i="11"/>
  <c r="R74" i="11"/>
  <c r="Q74" i="11"/>
  <c r="P74" i="11"/>
  <c r="N74" i="11"/>
  <c r="M74" i="11"/>
  <c r="L74" i="11"/>
  <c r="K74" i="11"/>
  <c r="J74" i="11"/>
  <c r="I74" i="11"/>
  <c r="H74" i="11"/>
  <c r="G74" i="11"/>
  <c r="F74" i="11"/>
  <c r="D74" i="11"/>
  <c r="T72" i="11"/>
  <c r="S72" i="11"/>
  <c r="R72" i="11"/>
  <c r="Q72" i="11"/>
  <c r="P72" i="11"/>
  <c r="N72" i="11"/>
  <c r="M72" i="11"/>
  <c r="L72" i="11"/>
  <c r="K72" i="11"/>
  <c r="J72" i="11"/>
  <c r="H72" i="11"/>
  <c r="G72" i="11"/>
  <c r="F72" i="11"/>
  <c r="E72" i="11"/>
  <c r="D72" i="11"/>
  <c r="T69" i="11"/>
  <c r="S69" i="11"/>
  <c r="N69" i="11"/>
  <c r="M69" i="11"/>
  <c r="L69" i="11"/>
  <c r="K69" i="11"/>
  <c r="J69" i="11"/>
  <c r="H69" i="11"/>
  <c r="G69" i="11"/>
  <c r="F69" i="11"/>
  <c r="E69" i="11"/>
  <c r="D69" i="11"/>
  <c r="T67" i="11"/>
  <c r="S67" i="11"/>
  <c r="P67" i="11"/>
  <c r="M67" i="11"/>
  <c r="K67" i="11"/>
  <c r="J67" i="11"/>
  <c r="H67" i="11"/>
  <c r="G67" i="11"/>
  <c r="F67" i="11"/>
  <c r="D67" i="11"/>
  <c r="T65" i="11"/>
  <c r="S65" i="11"/>
  <c r="R65" i="11"/>
  <c r="Q65" i="11"/>
  <c r="P65" i="11"/>
  <c r="N65" i="11"/>
  <c r="M65" i="11"/>
  <c r="L65" i="11"/>
  <c r="K65" i="11"/>
  <c r="J65" i="11"/>
  <c r="I65" i="11"/>
  <c r="H65" i="11"/>
  <c r="G65" i="11"/>
  <c r="F65" i="11"/>
  <c r="D65" i="11"/>
  <c r="T64" i="11"/>
  <c r="S64" i="11"/>
  <c r="R64" i="11"/>
  <c r="Q64" i="11"/>
  <c r="P64" i="11"/>
  <c r="N64" i="11"/>
  <c r="M64" i="11"/>
  <c r="L64" i="11"/>
  <c r="K64" i="11"/>
  <c r="J64" i="11"/>
  <c r="I64" i="11"/>
  <c r="H64" i="11"/>
  <c r="G64" i="11"/>
  <c r="F64" i="11"/>
  <c r="D64" i="11"/>
  <c r="T63" i="11"/>
  <c r="S63" i="11"/>
  <c r="Q63" i="11"/>
  <c r="P63" i="11"/>
  <c r="N63" i="11"/>
  <c r="M63" i="11"/>
  <c r="L63" i="11"/>
  <c r="K63" i="11"/>
  <c r="J63" i="11"/>
  <c r="I63" i="11"/>
  <c r="H63" i="11"/>
  <c r="G63" i="11"/>
  <c r="F63" i="11"/>
  <c r="D63" i="11"/>
  <c r="E36" i="11"/>
  <c r="F36" i="11"/>
  <c r="G36" i="11"/>
  <c r="H36" i="11"/>
  <c r="I36" i="11"/>
  <c r="J36" i="11"/>
  <c r="K36" i="11"/>
  <c r="L36" i="11"/>
  <c r="M36" i="11"/>
  <c r="N36" i="11"/>
  <c r="P36" i="11"/>
  <c r="Q36" i="11"/>
  <c r="R36" i="11"/>
  <c r="S36" i="11"/>
  <c r="T36" i="11"/>
  <c r="D36" i="11"/>
  <c r="F32" i="11"/>
  <c r="G32" i="11"/>
  <c r="H32" i="11"/>
  <c r="I32" i="11"/>
  <c r="J32" i="11"/>
  <c r="K32" i="11"/>
  <c r="L32" i="11"/>
  <c r="M32" i="11"/>
  <c r="N32" i="11"/>
  <c r="P32" i="11"/>
  <c r="Q32" i="11"/>
  <c r="R32" i="11"/>
  <c r="S32" i="11"/>
  <c r="D32" i="11"/>
  <c r="E30" i="11"/>
  <c r="F30" i="11"/>
  <c r="G30" i="11"/>
  <c r="H30" i="11"/>
  <c r="J30" i="11"/>
  <c r="K30" i="11"/>
  <c r="L30" i="11"/>
  <c r="M30" i="11"/>
  <c r="N30" i="11"/>
  <c r="P30" i="11"/>
  <c r="Q30" i="11"/>
  <c r="R30" i="11"/>
  <c r="S30" i="11"/>
  <c r="T30" i="11"/>
  <c r="D30" i="11"/>
  <c r="E27" i="11"/>
  <c r="F27" i="11"/>
  <c r="G27" i="11"/>
  <c r="H27" i="11"/>
  <c r="J27" i="11"/>
  <c r="K27" i="11"/>
  <c r="L27" i="11"/>
  <c r="M27" i="11"/>
  <c r="N27" i="11"/>
  <c r="S27" i="11"/>
  <c r="T27" i="11"/>
  <c r="D27" i="11"/>
  <c r="F25" i="11"/>
  <c r="G25" i="11"/>
  <c r="H25" i="11"/>
  <c r="J25" i="11"/>
  <c r="K25" i="11"/>
  <c r="M25" i="11"/>
  <c r="P25" i="11"/>
  <c r="S25" i="11"/>
  <c r="D25" i="11"/>
  <c r="F21" i="11"/>
  <c r="G21" i="11"/>
  <c r="H21" i="11"/>
  <c r="I21" i="11"/>
  <c r="J21" i="11"/>
  <c r="K21" i="11"/>
  <c r="L21" i="11"/>
  <c r="M21" i="11"/>
  <c r="N21" i="11"/>
  <c r="P21" i="11"/>
  <c r="Q21" i="11"/>
  <c r="S21" i="11"/>
  <c r="T21" i="11"/>
  <c r="D21" i="11"/>
  <c r="J28" i="11"/>
  <c r="I28" i="11"/>
  <c r="H28" i="11"/>
  <c r="G28" i="11"/>
  <c r="F28" i="11"/>
  <c r="D28" i="11"/>
  <c r="I10" i="11"/>
  <c r="J10" i="11"/>
  <c r="H10" i="11"/>
  <c r="G10" i="11"/>
  <c r="F10" i="11"/>
  <c r="D10" i="11"/>
  <c r="T25" i="11"/>
  <c r="R34" i="11"/>
  <c r="J34" i="11"/>
  <c r="I34" i="11"/>
  <c r="H34" i="11"/>
  <c r="G34" i="11"/>
  <c r="F34" i="11"/>
  <c r="E34" i="11"/>
  <c r="D34" i="11"/>
  <c r="R33" i="11"/>
  <c r="J33" i="11"/>
  <c r="I33" i="11"/>
  <c r="H33" i="11"/>
  <c r="G33" i="11"/>
  <c r="F33" i="11"/>
  <c r="E33" i="11"/>
  <c r="D33" i="11"/>
  <c r="T23" i="11"/>
  <c r="S23" i="11"/>
  <c r="R23" i="11"/>
  <c r="Q23" i="11"/>
  <c r="P23" i="11"/>
  <c r="N23" i="11"/>
  <c r="M23" i="11"/>
  <c r="L23" i="11"/>
  <c r="K23" i="11"/>
  <c r="J23" i="11"/>
  <c r="I23" i="11"/>
  <c r="H23" i="11"/>
  <c r="G23" i="11"/>
  <c r="F23" i="11"/>
  <c r="D23" i="11"/>
  <c r="T22" i="11"/>
  <c r="S22" i="11"/>
  <c r="R22" i="11"/>
  <c r="Q22" i="11"/>
  <c r="P22" i="11"/>
  <c r="N22" i="11"/>
  <c r="M22" i="11"/>
  <c r="L22" i="11"/>
  <c r="K22" i="11"/>
  <c r="J22" i="11"/>
  <c r="I22" i="11"/>
  <c r="H22" i="11"/>
  <c r="G22" i="11"/>
  <c r="F22" i="11"/>
  <c r="D22" i="11"/>
  <c r="E14" i="11"/>
  <c r="F14" i="11"/>
  <c r="G14" i="11"/>
  <c r="J14" i="11"/>
  <c r="R14" i="11"/>
  <c r="E13" i="11"/>
  <c r="F13" i="11"/>
  <c r="I13" i="11"/>
  <c r="J13" i="11"/>
  <c r="R13" i="11"/>
  <c r="D13" i="11"/>
  <c r="F7" i="11"/>
  <c r="G7" i="11"/>
  <c r="H7" i="11"/>
  <c r="I7" i="11"/>
  <c r="J7" i="11"/>
  <c r="K7" i="11"/>
  <c r="L7" i="11"/>
  <c r="M7" i="11"/>
  <c r="N7" i="11"/>
  <c r="P7" i="11"/>
  <c r="Q7" i="11"/>
  <c r="R7" i="11"/>
  <c r="S7" i="11"/>
  <c r="T7" i="11"/>
  <c r="F6" i="11"/>
  <c r="G6" i="11"/>
  <c r="H6" i="11"/>
  <c r="I6" i="11"/>
  <c r="J6" i="11"/>
  <c r="K6" i="11"/>
  <c r="L6" i="11"/>
  <c r="M6" i="11"/>
  <c r="N6" i="11"/>
  <c r="P6" i="11"/>
  <c r="Q6" i="11"/>
  <c r="R6" i="11"/>
  <c r="S6" i="11"/>
  <c r="T6" i="11"/>
  <c r="D7" i="11"/>
  <c r="D6" i="11"/>
  <c r="G116" i="11" l="1"/>
  <c r="AB33" i="13"/>
  <c r="AF33" i="13" s="1"/>
  <c r="D157" i="11"/>
  <c r="D137" i="11"/>
  <c r="G157" i="11"/>
  <c r="G137" i="11"/>
  <c r="I157" i="11"/>
  <c r="I137" i="11"/>
  <c r="M157" i="11"/>
  <c r="M137" i="11"/>
  <c r="R137" i="11"/>
  <c r="R157" i="11"/>
  <c r="K137" i="11"/>
  <c r="K157" i="11"/>
  <c r="P157" i="11"/>
  <c r="P137" i="11"/>
  <c r="D116" i="11"/>
  <c r="I116" i="11"/>
  <c r="M116" i="11"/>
  <c r="R116" i="11"/>
  <c r="F136" i="11"/>
  <c r="H136" i="11"/>
  <c r="J136" i="11"/>
  <c r="K116" i="11"/>
  <c r="P116" i="11"/>
  <c r="F137" i="11" l="1"/>
  <c r="F157" i="11"/>
  <c r="J137" i="11"/>
  <c r="J157" i="11"/>
  <c r="P178" i="11"/>
  <c r="P158" i="11"/>
  <c r="I178" i="11"/>
  <c r="I158" i="11"/>
  <c r="D158" i="11"/>
  <c r="D178" i="11"/>
  <c r="H137" i="11"/>
  <c r="H157" i="11"/>
  <c r="K158" i="11"/>
  <c r="K178" i="11"/>
  <c r="M178" i="11"/>
  <c r="M158" i="11"/>
  <c r="G158" i="11"/>
  <c r="G178" i="11"/>
  <c r="R158" i="11"/>
  <c r="R178" i="11"/>
  <c r="H158" i="11" l="1"/>
  <c r="H178" i="11"/>
  <c r="J158" i="11"/>
  <c r="J178" i="11"/>
  <c r="M179" i="11"/>
  <c r="M199" i="11"/>
  <c r="M200" i="11" s="1"/>
  <c r="I199" i="11"/>
  <c r="I200" i="11" s="1"/>
  <c r="I179" i="11"/>
  <c r="R199" i="11"/>
  <c r="R200" i="11" s="1"/>
  <c r="R179" i="11"/>
  <c r="K199" i="11"/>
  <c r="K200" i="11" s="1"/>
  <c r="K179" i="11"/>
  <c r="D199" i="11"/>
  <c r="D200" i="11" s="1"/>
  <c r="D179" i="11"/>
  <c r="F158" i="11"/>
  <c r="F178" i="11"/>
  <c r="G179" i="11"/>
  <c r="G199" i="11"/>
  <c r="G200" i="11" s="1"/>
  <c r="P199" i="11"/>
  <c r="P200" i="11" s="1"/>
  <c r="P179" i="11"/>
  <c r="F199" i="11" l="1"/>
  <c r="F200" i="11" s="1"/>
  <c r="F179" i="11"/>
  <c r="J199" i="11"/>
  <c r="J200" i="11" s="1"/>
  <c r="J179" i="11"/>
  <c r="H199" i="11"/>
  <c r="H200" i="11" s="1"/>
  <c r="H179" i="11"/>
</calcChain>
</file>

<file path=xl/sharedStrings.xml><?xml version="1.0" encoding="utf-8"?>
<sst xmlns="http://schemas.openxmlformats.org/spreadsheetml/2006/main" count="2193" uniqueCount="277">
  <si>
    <t>MES</t>
  </si>
  <si>
    <t>DCO nd</t>
  </si>
  <si>
    <t>DBO  nd</t>
  </si>
  <si>
    <t xml:space="preserve">Metox surface </t>
  </si>
  <si>
    <t>Metox souterrain</t>
  </si>
  <si>
    <t xml:space="preserve">AOX surface </t>
  </si>
  <si>
    <t>AOX souterrain</t>
  </si>
  <si>
    <t>Chaleur surface</t>
  </si>
  <si>
    <t>Chaleur mer</t>
  </si>
  <si>
    <t>Kg</t>
  </si>
  <si>
    <t>P</t>
  </si>
  <si>
    <t>Kg equitox</t>
  </si>
  <si>
    <t>MTh</t>
  </si>
  <si>
    <t>NR</t>
  </si>
  <si>
    <t>NO</t>
  </si>
  <si>
    <t>ZRE</t>
  </si>
  <si>
    <t>Zone 1</t>
  </si>
  <si>
    <t>Zone 2</t>
  </si>
  <si>
    <t>Sels
dissous</t>
  </si>
  <si>
    <t xml:space="preserve">Matiéres
Inhibitrices
surface </t>
  </si>
  <si>
    <t>Matiéres
Inhibitrices
souterrain</t>
  </si>
  <si>
    <t>m3 x S/cm</t>
  </si>
  <si>
    <t>Zone 3</t>
  </si>
  <si>
    <t>AESN</t>
  </si>
  <si>
    <t>AG</t>
  </si>
  <si>
    <t>MES en mer</t>
  </si>
  <si>
    <t>AP</t>
  </si>
  <si>
    <t>LB</t>
  </si>
  <si>
    <t>RM</t>
  </si>
  <si>
    <t>RMC</t>
  </si>
  <si>
    <t xml:space="preserve">Paramètres de taxation </t>
  </si>
  <si>
    <t>Sup</t>
  </si>
  <si>
    <t>Rhin</t>
  </si>
  <si>
    <t>Sout</t>
  </si>
  <si>
    <t>Sup 1</t>
  </si>
  <si>
    <t>Sup 2</t>
  </si>
  <si>
    <t>Sout1</t>
  </si>
  <si>
    <t>Sout 2</t>
  </si>
  <si>
    <t>Sout 1</t>
  </si>
  <si>
    <t>Sout 1A</t>
  </si>
  <si>
    <t>Sout ZRE</t>
  </si>
  <si>
    <t>Zone 2 &amp;3</t>
  </si>
  <si>
    <t>Sup1</t>
  </si>
  <si>
    <t>Sup2</t>
  </si>
  <si>
    <t>Sup3</t>
  </si>
  <si>
    <t>Sout 4</t>
  </si>
  <si>
    <t>Sout 5</t>
  </si>
  <si>
    <t>Sout 6</t>
  </si>
  <si>
    <t>ZRE Sup 7</t>
  </si>
  <si>
    <t>ZRE Sup 8</t>
  </si>
  <si>
    <t>ZRE Sout 9</t>
  </si>
  <si>
    <t>ZRE Sout 10</t>
  </si>
  <si>
    <t>Sup11</t>
  </si>
  <si>
    <t>Zone 1.1</t>
  </si>
  <si>
    <t>Zone 1.2</t>
  </si>
  <si>
    <t>Zone 1.4</t>
  </si>
  <si>
    <t>Zone 1.5</t>
  </si>
  <si>
    <t>Zone 1.3 a</t>
  </si>
  <si>
    <t>Zone 1.3 b</t>
  </si>
  <si>
    <t>Zone 1.3 c</t>
  </si>
  <si>
    <t>ZRE Zone 2.1</t>
  </si>
  <si>
    <t>ZRE Zone 2.2</t>
  </si>
  <si>
    <t>ZRE Zone 2.4</t>
  </si>
  <si>
    <t>ZRE Zone 2.5</t>
  </si>
  <si>
    <t>ZRE Zone 2.6</t>
  </si>
  <si>
    <t>ZRE Zone 2.3 a</t>
  </si>
  <si>
    <t>ZRE Zone 2.3 b</t>
  </si>
  <si>
    <t>ZRE Zone 2.3 c</t>
  </si>
  <si>
    <t>ZTQ</t>
  </si>
  <si>
    <t xml:space="preserve"> €/million m3 turbinés et m de chute</t>
  </si>
  <si>
    <t>Taux</t>
  </si>
  <si>
    <t>SN</t>
  </si>
  <si>
    <t>En €/m</t>
  </si>
  <si>
    <t>Remarques</t>
  </si>
  <si>
    <t xml:space="preserve"> Zone 1 </t>
  </si>
  <si>
    <t>totalité du Bassin, à l’exception de la zone 1</t>
  </si>
  <si>
    <t>RM&amp;C</t>
  </si>
  <si>
    <r>
      <t xml:space="preserve">Zone 2 </t>
    </r>
    <r>
      <rPr>
        <sz val="9"/>
        <rFont val="Times New Roman"/>
        <family val="1"/>
      </rPr>
      <t xml:space="preserve">: </t>
    </r>
  </si>
  <si>
    <t>REMARQUES</t>
  </si>
  <si>
    <t>Si prélévement &lt; 7 000m3/an Redevances = 0</t>
  </si>
  <si>
    <t>ZRE1 =</t>
  </si>
  <si>
    <t>Bassin hydrographique exutoire nappe de Beauce
Nappe de la craie et exutoire dans le bassin de l'Aronde</t>
  </si>
  <si>
    <t>ZRE2 =</t>
  </si>
  <si>
    <t xml:space="preserve">Albien Néocomien Captif
Tertiaire de Brie Champigny
Soisonnais
Nappe de calcaire tertiaire et dela craie senonniénne de beauce
Nappe des calcaires du Bajo Bathonien de l'Orne et du Calvados
Bassin de la Dives
Nappe du cenomanien, département de l'Orne
</t>
  </si>
  <si>
    <t xml:space="preserve">Z1.1 : </t>
  </si>
  <si>
    <t xml:space="preserve">totalité du Bassin à l’exception des zones 1.2 à 1.5 ci-après. </t>
  </si>
  <si>
    <t xml:space="preserve">Z1.2 :  </t>
  </si>
  <si>
    <t xml:space="preserve">nappe des sables des Landes. </t>
  </si>
  <si>
    <t xml:space="preserve">Z 1.3a : </t>
  </si>
  <si>
    <t>sections de cours d’eau amont sous influence marine.</t>
  </si>
  <si>
    <t>Les prélèvements réalisés en aval des limites de ces zones  ne sont pas soumis à redevance.</t>
  </si>
  <si>
    <t xml:space="preserve">Z1.3b : </t>
  </si>
  <si>
    <t>sections de cours d’eau aval sous influence marine.</t>
  </si>
  <si>
    <t xml:space="preserve">Z1.3c : </t>
  </si>
  <si>
    <t>sections d’estuaires sous influence marine.</t>
  </si>
  <si>
    <t xml:space="preserve">Z1.4 : </t>
  </si>
  <si>
    <t xml:space="preserve">soutien d’étiage de la Garonne. </t>
  </si>
  <si>
    <t xml:space="preserve">Z1.5 : </t>
  </si>
  <si>
    <t xml:space="preserve">nappes captives hors SAGE Gironde. </t>
  </si>
  <si>
    <t xml:space="preserve">Z2.1 : </t>
  </si>
  <si>
    <t xml:space="preserve">totalité du Bassin à l’exception des zones 2.2 à 2.6 ci après. </t>
  </si>
  <si>
    <t xml:space="preserve">Z2.2 : </t>
  </si>
  <si>
    <t xml:space="preserve">Z2.3a : </t>
  </si>
  <si>
    <t>sections de cours d’eau amont sous influence marine</t>
  </si>
  <si>
    <t>Les prélèvements réalisés en aval des limites de ces zones ne sont pas soumis à redevance.</t>
  </si>
  <si>
    <t>Z2.3b :</t>
  </si>
  <si>
    <t>sections de cours d’eau aval sous influence marine</t>
  </si>
  <si>
    <t xml:space="preserve">Z2.3c : </t>
  </si>
  <si>
    <t>sections d’estuaires sous influence marine</t>
  </si>
  <si>
    <t xml:space="preserve">Z2.4 : </t>
  </si>
  <si>
    <t xml:space="preserve">Z2.5 : </t>
  </si>
  <si>
    <t>ZRE Zone 2.6 - 1</t>
  </si>
  <si>
    <t>Z 2.6 - 1</t>
  </si>
  <si>
    <t xml:space="preserve">SAGE Gironde. </t>
  </si>
  <si>
    <t>ZRE Zone 2.6 - 2</t>
  </si>
  <si>
    <t>Z 2.6 - 2</t>
  </si>
  <si>
    <t>ZRE Zone 2.6 - 3</t>
  </si>
  <si>
    <t>Z 2.6 - 3</t>
  </si>
  <si>
    <t>Z1 sup</t>
  </si>
  <si>
    <t>Les subdivisions en A ou B des Zones n'ont pas de conséquence pour les industriels</t>
  </si>
  <si>
    <t>Z3 Sup</t>
  </si>
  <si>
    <t>0;13</t>
  </si>
  <si>
    <t>Z3:</t>
  </si>
  <si>
    <t xml:space="preserve"> Moyenne et basse vallée de la Durance</t>
  </si>
  <si>
    <t>Z2 Sout</t>
  </si>
  <si>
    <t>Z 4 Sup ZRE</t>
  </si>
  <si>
    <t>Z 5 Sout ZRE</t>
  </si>
  <si>
    <t>Remarque</t>
  </si>
  <si>
    <t>période d’étiage est comprise entre le 1er juin et le 31 octobre</t>
  </si>
  <si>
    <r>
      <t>période d'étiage est fixée du 1</t>
    </r>
    <r>
      <rPr>
        <sz val="8"/>
        <rFont val="Times New Roman"/>
        <family val="1"/>
      </rPr>
      <t xml:space="preserve">er </t>
    </r>
    <r>
      <rPr>
        <sz val="12"/>
        <rFont val="Times New Roman"/>
        <family val="1"/>
      </rPr>
      <t>juillet au 31 octobre.</t>
    </r>
  </si>
  <si>
    <t>période d’étiage est comprise entre le 1er mai et le 31 octobre</t>
  </si>
  <si>
    <t>En RM&amp;C, la période d’étiage est fixée comme suit :</t>
  </si>
  <si>
    <t>La Durance, de sa source à la confluence avec le Guil.</t>
  </si>
  <si>
    <t>Les affluents, de la Durance en amont de la confluence avec la Biaysse.</t>
  </si>
  <si>
    <t>L’Ubaye, de sa source à la confluence avec le Riou de la Blanche.</t>
  </si>
  <si>
    <t>La Tinée, de sa source à la confluence avec le Var.</t>
  </si>
  <si>
    <t>Le Sègre.</t>
  </si>
  <si>
    <t>La Têt, de sa source à la confluence avec la Rotjia.</t>
  </si>
  <si>
    <t>L’Aude, de sa source à la confluence avec la Bruyante.</t>
  </si>
  <si>
    <r>
      <t>L</t>
    </r>
    <r>
      <rPr>
        <sz val="11"/>
        <color indexed="63"/>
        <rFont val="Times New Roman"/>
        <family val="1"/>
      </rPr>
      <t>e Giffre. L’Arve, de sa source à la confluence avec le Giffre.</t>
    </r>
  </si>
  <si>
    <t>L’Arly. L’Isère, de sa source à la confluence avec le Drac</t>
  </si>
  <si>
    <t>L’Arc. Le Bréda, de sa source à la confluence avec l’Isère.</t>
  </si>
  <si>
    <t>La Romanche. Le Drac. La Bonne</t>
  </si>
  <si>
    <t>La Dranse d’Abondance. La Dranse de Morzine. Le Guil</t>
  </si>
  <si>
    <t>En €/m3 stocké en période d'étiage</t>
  </si>
  <si>
    <t>ZRE Sup</t>
  </si>
  <si>
    <t>ZRE Sout</t>
  </si>
  <si>
    <t>0,,36</t>
  </si>
  <si>
    <t>0</t>
  </si>
  <si>
    <t>ZRE 1</t>
  </si>
  <si>
    <t>ZRE 2</t>
  </si>
  <si>
    <t>Albien Néocomien Captif
Tertiaire de Brie Champigny
Soisonnais
Nappe de calcaire tertiaire et de la craie senonniénne de beauce
Nappe des calcaires du Bajo Bathonien de l'Orne et du Calvados
Bassin de la Dives
Nappe du cenomanien, département de l'Orne</t>
  </si>
  <si>
    <t>Matiéres
Inhibitrices
en mer à &gt; 5Km du littoral et à &gt; 250m de profondeur</t>
  </si>
  <si>
    <t>En Ct d'€ /m3</t>
  </si>
  <si>
    <t>Zone A Sup</t>
  </si>
  <si>
    <t>Zone A sout</t>
  </si>
  <si>
    <t>zone B sup Moyenne et basse vallée de la DURANCE</t>
  </si>
  <si>
    <t>Zone C Sup</t>
  </si>
  <si>
    <t>Zone C Sout</t>
  </si>
  <si>
    <t xml:space="preserve"> Zone D Sup = ZRE Sup</t>
  </si>
  <si>
    <t xml:space="preserve"> Zone D Sout = ZRE Sout</t>
  </si>
  <si>
    <t>En ct €/ m3</t>
  </si>
  <si>
    <r>
      <t xml:space="preserve">– du 01/01 au 28 /02 </t>
    </r>
    <r>
      <rPr>
        <sz val="12"/>
        <rFont val="Times New Roman"/>
        <family val="1"/>
      </rPr>
      <t>pour les bassins hydrographiques suivants </t>
    </r>
    <r>
      <rPr>
        <b/>
        <sz val="12"/>
        <rFont val="Times New Roman"/>
        <family val="1"/>
      </rPr>
      <t>:</t>
    </r>
  </si>
  <si>
    <r>
      <t xml:space="preserve">– </t>
    </r>
    <r>
      <rPr>
        <b/>
        <sz val="12"/>
        <rFont val="Times New Roman"/>
        <family val="1"/>
      </rPr>
      <t>du 01/07 au 10/09</t>
    </r>
    <r>
      <rPr>
        <sz val="12"/>
        <rFont val="Times New Roman"/>
        <family val="1"/>
      </rPr>
      <t xml:space="preserve"> pour la retenue de Chalain-Marigny ;</t>
    </r>
  </si>
  <si>
    <r>
      <t xml:space="preserve"> - </t>
    </r>
    <r>
      <rPr>
        <b/>
        <sz val="12"/>
        <rFont val="Times New Roman"/>
        <family val="1"/>
      </rPr>
      <t>du 1/07 au 15/09</t>
    </r>
    <r>
      <rPr>
        <sz val="12"/>
        <rFont val="Times New Roman"/>
        <family val="1"/>
      </rPr>
      <t xml:space="preserve"> pour les autres bassins hydrographiques de la circonscription administrative de l’agence de l’eau.</t>
    </r>
  </si>
  <si>
    <t>Pas de redevance si V prélevé &lt; 7 000m3</t>
  </si>
  <si>
    <t>Pas de redevance si V prélevé &lt; 10 000m3</t>
  </si>
  <si>
    <t>En € par unité</t>
  </si>
  <si>
    <t>En €/m3</t>
  </si>
  <si>
    <t>Variations vs 2008</t>
  </si>
  <si>
    <t>Variations vs 2012</t>
  </si>
  <si>
    <t>&lt;50 000m3/an</t>
  </si>
  <si>
    <t>axes migrateurs prioritaires du SDAGE « axes bleus »</t>
  </si>
  <si>
    <t>Nouveau Paramétre</t>
  </si>
  <si>
    <t>Classe</t>
  </si>
  <si>
    <t>Nappe des sables des Landes</t>
  </si>
  <si>
    <t>Section de cours d'eau amont sous influence marine</t>
  </si>
  <si>
    <t>Section de cours d'eau aval sous influence marine</t>
  </si>
  <si>
    <t>Soutien étiage Garonne</t>
  </si>
  <si>
    <t>ZRE nappe des sables des Landes</t>
  </si>
  <si>
    <t>ZRE Sections de cours d'eau amont sous influence marine</t>
  </si>
  <si>
    <t>Section d'estuaires sous influence marine</t>
  </si>
  <si>
    <t>ZRE Section d'estuaires sous influence marine</t>
  </si>
  <si>
    <t xml:space="preserve"> ZRE Soutien étiage Garonne</t>
  </si>
  <si>
    <t>Nappe captive hors SAGE Gironde</t>
  </si>
  <si>
    <t>SAGE Gironde</t>
  </si>
  <si>
    <t>Totalité bassin sauf Zone ci-dessous</t>
  </si>
  <si>
    <t>Variation vs 2012</t>
  </si>
  <si>
    <t>Pour la partie &gt; à 50 000m3/an</t>
  </si>
  <si>
    <t>Zones Xéme programme</t>
  </si>
  <si>
    <t>ZRE Zone 2.6 - 4</t>
  </si>
  <si>
    <t>Evolution des taux de redevances IXéme et Xéme programme</t>
  </si>
  <si>
    <t>DBO nd</t>
  </si>
  <si>
    <t>MES
en mer à &gt; 5Km du littoral et à &gt; 250m de profondeur</t>
  </si>
  <si>
    <t>N0</t>
  </si>
  <si>
    <t>MES Mer</t>
  </si>
  <si>
    <t>Chaleur Surface</t>
  </si>
  <si>
    <t>Chaleur Mer</t>
  </si>
  <si>
    <t xml:space="preserve">Sels Dissous </t>
  </si>
  <si>
    <t>Substances dangereuses
surface</t>
  </si>
  <si>
    <t>Substances dangereuses
souterrain</t>
  </si>
  <si>
    <t>0;225</t>
  </si>
  <si>
    <t>Communes redevables</t>
  </si>
  <si>
    <t>avant 2008</t>
  </si>
  <si>
    <t>à partir de 2008</t>
  </si>
  <si>
    <t>Pression forte</t>
  </si>
  <si>
    <t>Pression importante</t>
  </si>
  <si>
    <t>Pression faible</t>
  </si>
  <si>
    <t>Substances
dangereuses
Surface</t>
  </si>
  <si>
    <t>Substances
dangereuses
Souterrain</t>
  </si>
  <si>
    <t>Zone de base</t>
  </si>
  <si>
    <t>Zone moyenne</t>
  </si>
  <si>
    <t>Zone renforcée</t>
  </si>
  <si>
    <t>3;9</t>
  </si>
  <si>
    <t>A Z1 sup</t>
  </si>
  <si>
    <t>0;066</t>
  </si>
  <si>
    <t>Variations vs 2018</t>
  </si>
  <si>
    <t>Pas de prélévement si &lt; 7000 m3/an</t>
  </si>
  <si>
    <t>% variation
2024
 vs
 2008</t>
  </si>
  <si>
    <t>Avec écluse</t>
  </si>
  <si>
    <t>Sans écluse</t>
  </si>
  <si>
    <t>Nouveau paramétre</t>
  </si>
  <si>
    <t>Les courbes AG et RM sont confondues deuis 2013</t>
  </si>
  <si>
    <t>NC</t>
  </si>
  <si>
    <t>AG depuis 2013</t>
  </si>
  <si>
    <t>LB depuis 2019</t>
  </si>
  <si>
    <t>Variation depuis 2008</t>
  </si>
  <si>
    <t>Variation depuis 2016</t>
  </si>
  <si>
    <t>AG ET AP depuis 2013</t>
  </si>
  <si>
    <t>cours d'eau, voies d'eau, plans d'eau à l'exclusion des plans d'eau artificiels en contact permanent avec les eaux souterraines</t>
  </si>
  <si>
    <t>eaux se trouvant sous la surface du sol dans la zone de saturation et en contact direct avec le sol ou le sous-sol et plans d'eau artificiels en contact permanent avec ces eaux,</t>
  </si>
  <si>
    <t>Rhin canalisé</t>
  </si>
  <si>
    <t>0,16*</t>
  </si>
  <si>
    <t>* au lieu de 0,15</t>
  </si>
  <si>
    <t>3,9*</t>
  </si>
  <si>
    <t>4,55*</t>
  </si>
  <si>
    <t>6,00*</t>
  </si>
  <si>
    <t>7,00*</t>
  </si>
  <si>
    <t>,*</t>
  </si>
  <si>
    <t>0,04*</t>
  </si>
  <si>
    <t>0,046*</t>
  </si>
  <si>
    <t>0,08*</t>
  </si>
  <si>
    <t>0,093*</t>
  </si>
  <si>
    <t>0,105*</t>
  </si>
  <si>
    <t>4,93*</t>
  </si>
  <si>
    <t>5,32*</t>
  </si>
  <si>
    <t>0,0135*</t>
  </si>
  <si>
    <t>0,0136*</t>
  </si>
  <si>
    <t>0,0138*</t>
  </si>
  <si>
    <t>3,45*</t>
  </si>
  <si>
    <t>3,72*</t>
  </si>
  <si>
    <t>4*</t>
  </si>
  <si>
    <t>0,337*</t>
  </si>
  <si>
    <t>0,354*</t>
  </si>
  <si>
    <t>0,370*</t>
  </si>
  <si>
    <t>Zone A Non déficitaire</t>
  </si>
  <si>
    <t>Zone B Non déficitaire Montagne</t>
  </si>
  <si>
    <t>Zone C déficitaire +ZRE</t>
  </si>
  <si>
    <t>Zone D déficitaire Montagne +ZRE</t>
  </si>
  <si>
    <t>Usages</t>
  </si>
  <si>
    <t>Catégorie 1</t>
  </si>
  <si>
    <t>Catégorie 2</t>
  </si>
  <si>
    <t>Minimum</t>
  </si>
  <si>
    <t>Maximum</t>
  </si>
  <si>
    <t>Irrigation autre que l'irrigation gravitaire</t>
  </si>
  <si>
    <t>Irrigation gravitaire</t>
  </si>
  <si>
    <t>Alimentation en eau potable</t>
  </si>
  <si>
    <t>Alimentation d'un canal</t>
  </si>
  <si>
    <t>Refroidissement industriel conduisant à une restitution supérieure à 99 %</t>
  </si>
  <si>
    <t>Autres usages économiques</t>
  </si>
  <si>
    <t>PLF 2024</t>
  </si>
  <si>
    <t>Usage</t>
  </si>
  <si>
    <t>Taux &lt; Mini</t>
  </si>
  <si>
    <t>Redevance Hydro</t>
  </si>
  <si>
    <t>2024 vs 2023</t>
  </si>
  <si>
    <t>vs taux max</t>
  </si>
  <si>
    <t>2025 vs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</si>
</sst>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0"/>
  </numFmts>
  <fonts count="31" x14ac:knownFonts="1">
    <font>
      <sz val="10"/>
      <name val="Arial"/>
    </font>
    <font>
      <b/>
      <sz val="10"/>
      <name val="Arial"/>
      <family val="2"/>
    </font>
    <font>
      <b/>
      <sz val="10"/>
      <color indexed="10"/>
      <name val="Arial"/>
      <family val="2"/>
    </font>
    <font>
      <sz val="10"/>
      <name val="Arial"/>
      <family val="2"/>
    </font>
    <font>
      <sz val="11"/>
      <name val="Arial"/>
      <family val="2"/>
    </font>
    <font>
      <b/>
      <i/>
      <sz val="10"/>
      <name val="Arial"/>
      <family val="2"/>
    </font>
    <font>
      <b/>
      <sz val="12"/>
      <name val="Times New Roman"/>
      <family val="1"/>
    </font>
    <font>
      <sz val="12"/>
      <name val="Times New Roman"/>
      <family val="1"/>
    </font>
    <font>
      <sz val="9"/>
      <name val="Times New Roman"/>
      <family val="1"/>
    </font>
    <font>
      <i/>
      <sz val="10"/>
      <name val="Arial"/>
      <family val="2"/>
    </font>
    <font>
      <i/>
      <sz val="12"/>
      <name val="Times New Roman"/>
      <family val="1"/>
    </font>
    <font>
      <i/>
      <sz val="11"/>
      <name val="Arial"/>
      <family val="2"/>
    </font>
    <font>
      <b/>
      <i/>
      <sz val="12"/>
      <name val="Times New Roman"/>
      <family val="1"/>
    </font>
    <font>
      <sz val="8"/>
      <name val="Times New Roman"/>
      <family val="1"/>
    </font>
    <font>
      <sz val="11"/>
      <color indexed="63"/>
      <name val="Times New Roman"/>
      <family val="1"/>
    </font>
    <font>
      <b/>
      <sz val="16"/>
      <name val="Arial"/>
      <family val="2"/>
    </font>
    <font>
      <b/>
      <sz val="14"/>
      <name val="Arial"/>
      <family val="2"/>
    </font>
    <font>
      <sz val="8"/>
      <name val="Arial"/>
      <family val="2"/>
    </font>
    <font>
      <b/>
      <sz val="18"/>
      <name val="Arial"/>
      <family val="2"/>
    </font>
    <font>
      <sz val="12"/>
      <name val="Arial"/>
      <family val="2"/>
    </font>
    <font>
      <sz val="11"/>
      <color rgb="FF2C2A2A"/>
      <name val="Times New Roman"/>
      <family val="1"/>
    </font>
    <font>
      <sz val="10"/>
      <color rgb="FFFF0000"/>
      <name val="Arial"/>
      <family val="2"/>
    </font>
    <font>
      <b/>
      <sz val="14"/>
      <color rgb="FFFF0000"/>
      <name val="Arial"/>
      <family val="2"/>
    </font>
    <font>
      <b/>
      <sz val="12"/>
      <color rgb="FFFF0000"/>
      <name val="Arial"/>
      <family val="2"/>
    </font>
    <font>
      <b/>
      <i/>
      <sz val="10"/>
      <color indexed="10"/>
      <name val="Arial"/>
      <family val="2"/>
    </font>
    <font>
      <i/>
      <sz val="10"/>
      <color rgb="FFFF0000"/>
      <name val="Arial"/>
      <family val="2"/>
    </font>
    <font>
      <i/>
      <sz val="7"/>
      <name val="Times New Roman"/>
      <family val="1"/>
    </font>
    <font>
      <b/>
      <sz val="8"/>
      <color indexed="10"/>
      <name val="Arial"/>
      <family val="2"/>
    </font>
    <font>
      <b/>
      <i/>
      <sz val="10"/>
      <color rgb="FFFF0000"/>
      <name val="Arial"/>
      <family val="2"/>
    </font>
    <font>
      <b/>
      <sz val="10"/>
      <color rgb="FFFF0000"/>
      <name val="Arial"/>
      <family val="2"/>
    </font>
    <font>
      <b/>
      <sz val="11"/>
      <color theme="1"/>
      <name val="Calibri"/>
      <family val="2"/>
      <scheme val="minor"/>
    </font>
  </fonts>
  <fills count="1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CC99"/>
        <bgColor indexed="64"/>
      </patternFill>
    </fill>
    <fill>
      <patternFill patternType="solid">
        <fgColor rgb="FFFF99CC"/>
        <bgColor indexed="64"/>
      </patternFill>
    </fill>
    <fill>
      <patternFill patternType="solid">
        <fgColor rgb="FF99CCFF"/>
        <bgColor indexed="64"/>
      </patternFill>
    </fill>
    <fill>
      <patternFill patternType="solid">
        <fgColor rgb="FFCC99FF"/>
        <bgColor indexed="64"/>
      </patternFill>
    </fill>
    <fill>
      <patternFill patternType="solid">
        <fgColor theme="9" tint="0.39997558519241921"/>
        <bgColor indexed="64"/>
      </patternFill>
    </fill>
    <fill>
      <patternFill patternType="solid">
        <fgColor theme="9" tint="0.599993896298104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140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64" fontId="0" fillId="0" borderId="0" xfId="0" applyNumberFormat="1" applyAlignment="1">
      <alignment vertical="center"/>
    </xf>
    <xf numFmtId="164" fontId="0" fillId="0" borderId="0" xfId="0" applyNumberFormat="1" applyAlignment="1">
      <alignment horizontal="center" vertical="center"/>
    </xf>
    <xf numFmtId="164" fontId="0" fillId="0" borderId="1" xfId="0" applyNumberFormat="1" applyBorder="1" applyAlignment="1">
      <alignment horizontal="center" vertical="center"/>
    </xf>
    <xf numFmtId="164" fontId="0" fillId="0" borderId="4"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0" fontId="0" fillId="0" borderId="0" xfId="0"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2" xfId="0" applyBorder="1" applyAlignment="1">
      <alignment vertical="center"/>
    </xf>
    <xf numFmtId="0" fontId="1" fillId="0" borderId="7" xfId="0" applyFont="1" applyBorder="1" applyAlignment="1">
      <alignment horizontal="center" vertical="center"/>
    </xf>
    <xf numFmtId="0" fontId="4"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0" fontId="2" fillId="2" borderId="6" xfId="0" applyNumberFormat="1" applyFont="1" applyFill="1" applyBorder="1" applyAlignment="1">
      <alignment horizontal="center" vertical="center" wrapText="1"/>
    </xf>
    <xf numFmtId="10" fontId="2" fillId="3" borderId="6" xfId="0" applyNumberFormat="1" applyFont="1" applyFill="1" applyBorder="1" applyAlignment="1">
      <alignment horizontal="center" vertical="center" wrapText="1"/>
    </xf>
    <xf numFmtId="2" fontId="0" fillId="0" borderId="0" xfId="0" applyNumberFormat="1" applyAlignment="1">
      <alignment horizontal="center" vertical="center"/>
    </xf>
    <xf numFmtId="0" fontId="0" fillId="4" borderId="5" xfId="0" applyFill="1" applyBorder="1" applyAlignment="1">
      <alignment horizontal="center" vertical="center"/>
    </xf>
    <xf numFmtId="0" fontId="4" fillId="0" borderId="9" xfId="0" applyFont="1" applyBorder="1" applyAlignment="1">
      <alignment horizontal="center" vertical="center" wrapText="1"/>
    </xf>
    <xf numFmtId="0" fontId="0" fillId="4" borderId="6" xfId="0" applyFill="1" applyBorder="1" applyAlignment="1">
      <alignment horizontal="center" vertical="center"/>
    </xf>
    <xf numFmtId="10" fontId="2" fillId="5" borderId="6"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10" fontId="2" fillId="6" borderId="6" xfId="0" applyNumberFormat="1" applyFont="1" applyFill="1" applyBorder="1" applyAlignment="1">
      <alignment horizontal="center" vertical="center" wrapText="1"/>
    </xf>
    <xf numFmtId="10" fontId="2" fillId="7" borderId="6" xfId="0" applyNumberFormat="1" applyFont="1" applyFill="1" applyBorder="1" applyAlignment="1">
      <alignment horizontal="center" vertical="center" wrapText="1"/>
    </xf>
    <xf numFmtId="0" fontId="1" fillId="0" borderId="10" xfId="0" applyFont="1" applyBorder="1" applyAlignment="1">
      <alignment vertical="center"/>
    </xf>
    <xf numFmtId="0" fontId="1" fillId="0" borderId="11" xfId="0" applyFont="1" applyBorder="1" applyAlignment="1">
      <alignment vertical="center"/>
    </xf>
    <xf numFmtId="10" fontId="2" fillId="8" borderId="6" xfId="0" applyNumberFormat="1" applyFont="1" applyFill="1" applyBorder="1" applyAlignment="1">
      <alignment horizontal="center" vertical="center" wrapText="1"/>
    </xf>
    <xf numFmtId="0" fontId="1" fillId="0" borderId="12" xfId="0" applyFont="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8"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8"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6" xfId="0" applyFont="1" applyFill="1" applyBorder="1" applyAlignment="1">
      <alignment vertical="center"/>
    </xf>
    <xf numFmtId="0" fontId="1" fillId="7" borderId="14" xfId="0" applyFont="1" applyFill="1" applyBorder="1" applyAlignment="1">
      <alignment horizontal="center" vertical="center"/>
    </xf>
    <xf numFmtId="164" fontId="3" fillId="0" borderId="2" xfId="0" applyNumberFormat="1" applyFont="1" applyBorder="1" applyAlignment="1">
      <alignment horizontal="center" vertical="center"/>
    </xf>
    <xf numFmtId="0" fontId="3" fillId="0" borderId="12"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5" xfId="0" applyFont="1" applyBorder="1" applyAlignment="1">
      <alignment horizontal="center" vertical="center"/>
    </xf>
    <xf numFmtId="164" fontId="3" fillId="0" borderId="5" xfId="0" applyNumberFormat="1" applyFont="1" applyBorder="1" applyAlignment="1">
      <alignment horizontal="center" vertical="center"/>
    </xf>
    <xf numFmtId="0" fontId="1" fillId="0" borderId="13" xfId="0" applyFont="1" applyBorder="1" applyAlignment="1">
      <alignment horizontal="center" vertical="center"/>
    </xf>
    <xf numFmtId="164" fontId="0" fillId="3" borderId="1" xfId="0" applyNumberFormat="1" applyFill="1" applyBorder="1" applyAlignment="1">
      <alignment horizontal="center" vertical="center"/>
    </xf>
    <xf numFmtId="164" fontId="0" fillId="3" borderId="4"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165" fontId="3" fillId="2" borderId="1"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164" fontId="0" fillId="3" borderId="14" xfId="0" applyNumberFormat="1" applyFill="1" applyBorder="1" applyAlignment="1">
      <alignment horizontal="center" vertical="center"/>
    </xf>
    <xf numFmtId="165" fontId="3" fillId="2" borderId="2" xfId="0" applyNumberFormat="1" applyFont="1" applyFill="1" applyBorder="1" applyAlignment="1">
      <alignment horizontal="center" vertical="center"/>
    </xf>
    <xf numFmtId="165" fontId="3" fillId="6" borderId="2" xfId="0" applyNumberFormat="1" applyFont="1" applyFill="1" applyBorder="1" applyAlignment="1">
      <alignment horizontal="center" vertical="center"/>
    </xf>
    <xf numFmtId="0" fontId="3" fillId="8" borderId="5"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8" xfId="0" applyFont="1" applyFill="1" applyBorder="1" applyAlignment="1">
      <alignment horizontal="center" vertical="center"/>
    </xf>
    <xf numFmtId="164" fontId="3" fillId="6" borderId="1" xfId="0" applyNumberFormat="1" applyFont="1" applyFill="1" applyBorder="1" applyAlignment="1">
      <alignment horizontal="center" vertical="center"/>
    </xf>
    <xf numFmtId="164" fontId="3" fillId="6" borderId="4" xfId="0" applyNumberFormat="1" applyFont="1" applyFill="1" applyBorder="1" applyAlignment="1">
      <alignment horizontal="center" vertical="center"/>
    </xf>
    <xf numFmtId="0" fontId="3" fillId="7" borderId="5"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8"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1" fillId="3" borderId="5" xfId="0" applyFont="1" applyFill="1" applyBorder="1" applyAlignment="1">
      <alignment horizontal="center" vertical="center"/>
    </xf>
    <xf numFmtId="0" fontId="1" fillId="3" borderId="8" xfId="0" applyFont="1" applyFill="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wrapText="1"/>
    </xf>
    <xf numFmtId="10" fontId="2" fillId="2" borderId="9"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164" fontId="3" fillId="9" borderId="2"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center" vertical="center"/>
    </xf>
    <xf numFmtId="164" fontId="1" fillId="2" borderId="18" xfId="0" applyNumberFormat="1" applyFont="1" applyFill="1" applyBorder="1" applyAlignment="1">
      <alignment horizontal="center" vertical="center" wrapText="1"/>
    </xf>
    <xf numFmtId="0" fontId="1" fillId="2" borderId="18" xfId="0" applyFont="1" applyFill="1" applyBorder="1" applyAlignment="1">
      <alignment horizontal="center" vertical="center"/>
    </xf>
    <xf numFmtId="0" fontId="1" fillId="3" borderId="18" xfId="0" applyFont="1" applyFill="1" applyBorder="1" applyAlignment="1">
      <alignment horizontal="center" vertical="center"/>
    </xf>
    <xf numFmtId="0" fontId="1" fillId="8" borderId="18" xfId="0" applyFont="1" applyFill="1" applyBorder="1" applyAlignment="1">
      <alignment horizontal="center" vertical="center"/>
    </xf>
    <xf numFmtId="0" fontId="1" fillId="5" borderId="18" xfId="0" applyFont="1" applyFill="1" applyBorder="1" applyAlignment="1">
      <alignment horizontal="center" vertical="center"/>
    </xf>
    <xf numFmtId="0" fontId="1" fillId="6" borderId="18" xfId="0" applyFont="1" applyFill="1" applyBorder="1" applyAlignment="1">
      <alignment horizontal="center" vertical="center"/>
    </xf>
    <xf numFmtId="0" fontId="1" fillId="7" borderId="18" xfId="0" applyFont="1" applyFill="1" applyBorder="1" applyAlignment="1">
      <alignment horizontal="center" vertical="center"/>
    </xf>
    <xf numFmtId="2" fontId="1" fillId="2" borderId="18" xfId="0" applyNumberFormat="1" applyFont="1" applyFill="1" applyBorder="1" applyAlignment="1">
      <alignment horizontal="center" vertical="center"/>
    </xf>
    <xf numFmtId="0" fontId="0" fillId="9" borderId="0" xfId="0" applyFill="1" applyAlignment="1">
      <alignment vertical="center"/>
    </xf>
    <xf numFmtId="0" fontId="1" fillId="9" borderId="15"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165" fontId="3" fillId="9" borderId="2" xfId="0" applyNumberFormat="1" applyFont="1" applyFill="1" applyBorder="1" applyAlignment="1">
      <alignment horizontal="center" vertical="center"/>
    </xf>
    <xf numFmtId="164" fontId="0" fillId="9" borderId="21" xfId="0" applyNumberFormat="1" applyFill="1" applyBorder="1" applyAlignment="1">
      <alignment horizontal="center" vertical="center"/>
    </xf>
    <xf numFmtId="164" fontId="0" fillId="9" borderId="20" xfId="0" applyNumberFormat="1" applyFill="1" applyBorder="1" applyAlignment="1">
      <alignment horizontal="center" vertical="center"/>
    </xf>
    <xf numFmtId="0" fontId="3" fillId="9" borderId="22" xfId="0" applyFont="1" applyFill="1" applyBorder="1" applyAlignment="1">
      <alignment horizontal="center" vertical="center"/>
    </xf>
    <xf numFmtId="164" fontId="3" fillId="9" borderId="20" xfId="0" applyNumberFormat="1" applyFont="1" applyFill="1" applyBorder="1" applyAlignment="1">
      <alignment horizontal="center" vertical="center"/>
    </xf>
    <xf numFmtId="0" fontId="4" fillId="0" borderId="23" xfId="0" applyFont="1" applyBorder="1" applyAlignment="1">
      <alignment vertical="center" wrapText="1"/>
    </xf>
    <xf numFmtId="0" fontId="3" fillId="0" borderId="0" xfId="0" applyFont="1"/>
    <xf numFmtId="0" fontId="0" fillId="0" borderId="24" xfId="0" applyBorder="1"/>
    <xf numFmtId="0" fontId="6" fillId="0" borderId="18" xfId="0" applyFont="1" applyBorder="1" applyAlignment="1">
      <alignment vertical="top" wrapText="1"/>
    </xf>
    <xf numFmtId="0" fontId="7" fillId="0" borderId="23" xfId="0" applyFont="1" applyBorder="1" applyAlignment="1">
      <alignment horizontal="center" vertical="top" wrapText="1"/>
    </xf>
    <xf numFmtId="0" fontId="1" fillId="0" borderId="23" xfId="0" applyFont="1" applyBorder="1" applyAlignment="1">
      <alignment horizontal="center" vertical="center"/>
    </xf>
    <xf numFmtId="0" fontId="9" fillId="0" borderId="5" xfId="0" applyFont="1" applyBorder="1" applyAlignment="1">
      <alignment horizontal="center" vertical="center" wrapText="1"/>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5" fillId="0" borderId="0" xfId="0" applyFont="1" applyAlignment="1">
      <alignment vertical="center"/>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4" xfId="0" applyNumberFormat="1" applyFont="1" applyFill="1" applyBorder="1" applyAlignment="1">
      <alignment horizontal="center" vertical="center"/>
    </xf>
    <xf numFmtId="164" fontId="9" fillId="0" borderId="1" xfId="0" applyNumberFormat="1" applyFont="1" applyBorder="1" applyAlignment="1">
      <alignment horizontal="center" vertical="center"/>
    </xf>
    <xf numFmtId="164" fontId="9" fillId="0" borderId="0" xfId="0" applyNumberFormat="1" applyFont="1" applyAlignment="1">
      <alignment horizontal="center" vertical="center"/>
    </xf>
    <xf numFmtId="164" fontId="9" fillId="0" borderId="2" xfId="0" applyNumberFormat="1" applyFont="1" applyBorder="1" applyAlignment="1">
      <alignment horizontal="center" vertical="center"/>
    </xf>
    <xf numFmtId="2" fontId="9" fillId="2" borderId="2" xfId="0" applyNumberFormat="1" applyFont="1" applyFill="1" applyBorder="1" applyAlignment="1">
      <alignment horizontal="center" vertical="center"/>
    </xf>
    <xf numFmtId="2" fontId="9" fillId="2" borderId="3" xfId="0" applyNumberFormat="1" applyFont="1" applyFill="1" applyBorder="1" applyAlignment="1">
      <alignment horizontal="center" vertical="center"/>
    </xf>
    <xf numFmtId="164" fontId="9" fillId="3" borderId="6" xfId="0" applyNumberFormat="1" applyFont="1" applyFill="1" applyBorder="1" applyAlignment="1">
      <alignment horizontal="center" vertical="center"/>
    </xf>
    <xf numFmtId="164" fontId="9" fillId="3" borderId="21"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xf>
    <xf numFmtId="164" fontId="9" fillId="3" borderId="20" xfId="0" applyNumberFormat="1" applyFont="1" applyFill="1" applyBorder="1" applyAlignment="1">
      <alignment horizontal="center" vertical="center"/>
    </xf>
    <xf numFmtId="165" fontId="9" fillId="3" borderId="2" xfId="0" applyNumberFormat="1" applyFont="1" applyFill="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vertical="center"/>
    </xf>
    <xf numFmtId="0" fontId="9"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9" fillId="8" borderId="5"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0" borderId="0" xfId="0" applyFont="1"/>
    <xf numFmtId="0" fontId="9" fillId="0" borderId="0" xfId="0" applyFont="1" applyAlignment="1">
      <alignment vertical="center"/>
    </xf>
    <xf numFmtId="164" fontId="9" fillId="0" borderId="5" xfId="0" applyNumberFormat="1" applyFont="1" applyBorder="1" applyAlignment="1">
      <alignment horizontal="center" vertical="center"/>
    </xf>
    <xf numFmtId="0" fontId="9" fillId="5" borderId="5"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0" fillId="0" borderId="0" xfId="0" applyFont="1"/>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164" fontId="9" fillId="6" borderId="1" xfId="0" applyNumberFormat="1" applyFont="1" applyFill="1" applyBorder="1" applyAlignment="1">
      <alignment horizontal="center" vertical="center"/>
    </xf>
    <xf numFmtId="164" fontId="9" fillId="6" borderId="4" xfId="0" applyNumberFormat="1" applyFont="1" applyFill="1" applyBorder="1" applyAlignment="1">
      <alignment horizontal="center" vertical="center"/>
    </xf>
    <xf numFmtId="164" fontId="9" fillId="0" borderId="0" xfId="0" applyNumberFormat="1" applyFont="1" applyAlignment="1">
      <alignment vertical="center"/>
    </xf>
    <xf numFmtId="165" fontId="9" fillId="6" borderId="2" xfId="0" applyNumberFormat="1" applyFont="1" applyFill="1" applyBorder="1" applyAlignment="1">
      <alignment horizontal="center" vertical="center"/>
    </xf>
    <xf numFmtId="165" fontId="9" fillId="6" borderId="3" xfId="0" applyNumberFormat="1" applyFont="1" applyFill="1" applyBorder="1" applyAlignment="1">
      <alignment horizontal="center" vertical="center"/>
    </xf>
    <xf numFmtId="0" fontId="9" fillId="7" borderId="5"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4" xfId="0" applyFont="1" applyFill="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vertical="center"/>
    </xf>
    <xf numFmtId="0" fontId="7" fillId="0" borderId="30" xfId="0" applyFont="1" applyBorder="1" applyAlignment="1">
      <alignment vertical="top" wrapText="1"/>
    </xf>
    <xf numFmtId="0" fontId="7" fillId="0" borderId="11" xfId="0" applyFont="1" applyBorder="1" applyAlignment="1">
      <alignment vertical="top" wrapText="1"/>
    </xf>
    <xf numFmtId="0" fontId="1" fillId="0" borderId="31" xfId="0" applyFont="1" applyBorder="1" applyAlignment="1">
      <alignment horizontal="center" vertical="center"/>
    </xf>
    <xf numFmtId="0" fontId="5" fillId="8" borderId="18" xfId="0" applyFont="1" applyFill="1" applyBorder="1" applyAlignment="1">
      <alignment horizontal="center" vertical="center"/>
    </xf>
    <xf numFmtId="0" fontId="5" fillId="5" borderId="18" xfId="0" applyFont="1" applyFill="1" applyBorder="1" applyAlignment="1">
      <alignment horizontal="center" vertical="center"/>
    </xf>
    <xf numFmtId="0" fontId="3" fillId="0" borderId="18" xfId="0" applyFont="1" applyBorder="1" applyAlignment="1">
      <alignment horizontal="center"/>
    </xf>
    <xf numFmtId="0" fontId="6" fillId="0" borderId="18" xfId="0" applyFont="1" applyBorder="1" applyAlignment="1">
      <alignment horizontal="center" vertical="center" wrapText="1"/>
    </xf>
    <xf numFmtId="0" fontId="3" fillId="0" borderId="18" xfId="0" applyFont="1" applyBorder="1" applyAlignment="1">
      <alignment horizontal="center" vertical="center"/>
    </xf>
    <xf numFmtId="0" fontId="1" fillId="3" borderId="18" xfId="0" applyFont="1" applyFill="1" applyBorder="1" applyAlignment="1">
      <alignment horizontal="center" vertical="center" wrapText="1"/>
    </xf>
    <xf numFmtId="0" fontId="9" fillId="0" borderId="32" xfId="0" applyFont="1" applyBorder="1" applyAlignment="1">
      <alignment vertical="center"/>
    </xf>
    <xf numFmtId="0" fontId="9" fillId="0" borderId="33"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5" fillId="10" borderId="25" xfId="0" applyFont="1" applyFill="1" applyBorder="1" applyAlignment="1">
      <alignment vertical="center"/>
    </xf>
    <xf numFmtId="164" fontId="9" fillId="10" borderId="26" xfId="0" applyNumberFormat="1" applyFont="1" applyFill="1" applyBorder="1" applyAlignment="1">
      <alignment horizontal="left" vertical="center" wrapText="1"/>
    </xf>
    <xf numFmtId="0" fontId="9" fillId="0" borderId="36" xfId="0" applyFont="1" applyBorder="1" applyAlignment="1">
      <alignment vertical="center"/>
    </xf>
    <xf numFmtId="0" fontId="9" fillId="0" borderId="37" xfId="0" applyFont="1" applyBorder="1" applyAlignment="1">
      <alignment vertical="center"/>
    </xf>
    <xf numFmtId="0" fontId="9" fillId="2" borderId="38" xfId="0" applyFont="1" applyFill="1" applyBorder="1" applyAlignment="1">
      <alignment horizontal="center" vertical="center"/>
    </xf>
    <xf numFmtId="2" fontId="9" fillId="2" borderId="38" xfId="0" applyNumberFormat="1" applyFont="1" applyFill="1" applyBorder="1" applyAlignment="1">
      <alignment horizontal="center" vertical="center"/>
    </xf>
    <xf numFmtId="2" fontId="9" fillId="2" borderId="39" xfId="0" applyNumberFormat="1" applyFont="1" applyFill="1" applyBorder="1" applyAlignment="1">
      <alignment horizontal="center" vertical="center"/>
    </xf>
    <xf numFmtId="164" fontId="9" fillId="3" borderId="40" xfId="0" applyNumberFormat="1" applyFont="1" applyFill="1" applyBorder="1" applyAlignment="1">
      <alignment horizontal="center" vertical="center"/>
    </xf>
    <xf numFmtId="164" fontId="9" fillId="3" borderId="14" xfId="0" applyNumberFormat="1" applyFont="1" applyFill="1" applyBorder="1" applyAlignment="1">
      <alignment horizontal="center" vertical="center"/>
    </xf>
    <xf numFmtId="164" fontId="9" fillId="3" borderId="38"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5" fontId="9" fillId="3" borderId="3" xfId="0" applyNumberFormat="1" applyFont="1" applyFill="1" applyBorder="1" applyAlignment="1">
      <alignment horizontal="center" vertical="center"/>
    </xf>
    <xf numFmtId="0" fontId="9" fillId="5" borderId="41"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39" xfId="0" applyFont="1" applyFill="1" applyBorder="1" applyAlignment="1">
      <alignment horizontal="center" vertical="center"/>
    </xf>
    <xf numFmtId="0" fontId="9" fillId="6" borderId="41" xfId="0" applyFont="1" applyFill="1" applyBorder="1" applyAlignment="1">
      <alignment horizontal="center" vertical="center"/>
    </xf>
    <xf numFmtId="164" fontId="9" fillId="6" borderId="38" xfId="0" applyNumberFormat="1" applyFont="1" applyFill="1" applyBorder="1" applyAlignment="1">
      <alignment horizontal="center" vertical="center"/>
    </xf>
    <xf numFmtId="165" fontId="9" fillId="6" borderId="39" xfId="0" applyNumberFormat="1" applyFont="1" applyFill="1" applyBorder="1" applyAlignment="1">
      <alignment horizontal="center" vertical="center"/>
    </xf>
    <xf numFmtId="0" fontId="9" fillId="7" borderId="41" xfId="0" applyFont="1" applyFill="1" applyBorder="1" applyAlignment="1">
      <alignment horizontal="center" vertical="center"/>
    </xf>
    <xf numFmtId="0" fontId="9" fillId="7" borderId="38"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2" xfId="0" applyFont="1" applyFill="1" applyBorder="1" applyAlignment="1">
      <alignment horizontal="center" vertical="center"/>
    </xf>
    <xf numFmtId="0" fontId="7" fillId="10" borderId="18" xfId="0" applyFont="1" applyFill="1" applyBorder="1"/>
    <xf numFmtId="164" fontId="9" fillId="11" borderId="6" xfId="0" applyNumberFormat="1" applyFont="1" applyFill="1" applyBorder="1" applyAlignment="1">
      <alignment horizontal="center" vertical="center"/>
    </xf>
    <xf numFmtId="0" fontId="7" fillId="11" borderId="18" xfId="0" applyFont="1" applyFill="1" applyBorder="1"/>
    <xf numFmtId="0" fontId="9" fillId="12" borderId="5" xfId="0" applyFont="1" applyFill="1" applyBorder="1" applyAlignment="1">
      <alignment horizontal="center" vertical="center"/>
    </xf>
    <xf numFmtId="0" fontId="7" fillId="12" borderId="18" xfId="0" applyFont="1" applyFill="1" applyBorder="1"/>
    <xf numFmtId="0" fontId="9" fillId="13" borderId="5" xfId="0" applyFont="1" applyFill="1" applyBorder="1" applyAlignment="1">
      <alignment horizontal="center" vertical="center"/>
    </xf>
    <xf numFmtId="0" fontId="7" fillId="13" borderId="18" xfId="0" applyFont="1" applyFill="1" applyBorder="1"/>
    <xf numFmtId="0" fontId="9" fillId="14" borderId="8" xfId="0" applyFont="1" applyFill="1" applyBorder="1" applyAlignment="1">
      <alignment horizontal="center" vertical="center"/>
    </xf>
    <xf numFmtId="0" fontId="7" fillId="14" borderId="42" xfId="0" applyFont="1" applyFill="1" applyBorder="1"/>
    <xf numFmtId="0" fontId="7" fillId="14" borderId="43" xfId="0" applyFont="1" applyFill="1" applyBorder="1"/>
    <xf numFmtId="0" fontId="20" fillId="14" borderId="43" xfId="0" applyFont="1" applyFill="1" applyBorder="1"/>
    <xf numFmtId="0" fontId="6" fillId="0" borderId="44" xfId="0" applyFont="1" applyBorder="1" applyAlignment="1">
      <alignment horizontal="center" vertical="center" wrapText="1"/>
    </xf>
    <xf numFmtId="0" fontId="7" fillId="10" borderId="45" xfId="0" applyFont="1" applyFill="1" applyBorder="1" applyAlignment="1">
      <alignment horizontal="center" vertical="center" wrapText="1"/>
    </xf>
    <xf numFmtId="0" fontId="7" fillId="11" borderId="45" xfId="0" applyFont="1" applyFill="1" applyBorder="1" applyAlignment="1">
      <alignment horizontal="center" vertical="center" wrapText="1"/>
    </xf>
    <xf numFmtId="0" fontId="7" fillId="12" borderId="45" xfId="0" applyFont="1" applyFill="1" applyBorder="1" applyAlignment="1">
      <alignment horizontal="center" vertical="center" wrapText="1"/>
    </xf>
    <xf numFmtId="0" fontId="7" fillId="13" borderId="45"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4" fillId="0" borderId="46" xfId="0" applyFont="1" applyBorder="1" applyAlignment="1">
      <alignment horizontal="center" vertical="center" wrapText="1"/>
    </xf>
    <xf numFmtId="0" fontId="1" fillId="0" borderId="17" xfId="0" applyFont="1" applyBorder="1" applyAlignment="1">
      <alignment horizontal="center" vertical="center"/>
    </xf>
    <xf numFmtId="0" fontId="1" fillId="0" borderId="47" xfId="0" applyFont="1" applyBorder="1" applyAlignment="1">
      <alignment horizontal="center" vertical="center"/>
    </xf>
    <xf numFmtId="0" fontId="1" fillId="9" borderId="48" xfId="0" applyFont="1" applyFill="1" applyBorder="1" applyAlignment="1">
      <alignment horizontal="center" vertical="center"/>
    </xf>
    <xf numFmtId="2" fontId="3" fillId="2" borderId="1" xfId="0" applyNumberFormat="1" applyFont="1" applyFill="1" applyBorder="1" applyAlignment="1">
      <alignment horizontal="center" vertical="center"/>
    </xf>
    <xf numFmtId="2" fontId="3" fillId="2" borderId="2" xfId="0" applyNumberFormat="1" applyFont="1" applyFill="1" applyBorder="1" applyAlignment="1">
      <alignment horizontal="center" vertical="center"/>
    </xf>
    <xf numFmtId="0" fontId="1" fillId="0" borderId="48" xfId="0" applyFont="1" applyBorder="1" applyAlignment="1">
      <alignment horizontal="center" vertical="center"/>
    </xf>
    <xf numFmtId="2" fontId="3" fillId="2" borderId="20" xfId="0" applyNumberFormat="1" applyFont="1" applyFill="1" applyBorder="1" applyAlignment="1">
      <alignment horizontal="center" vertical="center"/>
    </xf>
    <xf numFmtId="2" fontId="3" fillId="2" borderId="22" xfId="0" applyNumberFormat="1" applyFont="1" applyFill="1" applyBorder="1" applyAlignment="1">
      <alignment horizontal="center" vertical="center"/>
    </xf>
    <xf numFmtId="164" fontId="0" fillId="3" borderId="21" xfId="0" applyNumberFormat="1" applyFill="1" applyBorder="1" applyAlignment="1">
      <alignment horizontal="center" vertical="center"/>
    </xf>
    <xf numFmtId="164" fontId="0" fillId="3" borderId="20" xfId="0" applyNumberFormat="1" applyFill="1" applyBorder="1" applyAlignment="1">
      <alignment horizontal="center" vertical="center"/>
    </xf>
    <xf numFmtId="164" fontId="0" fillId="3" borderId="22" xfId="0" applyNumberForma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2" xfId="0" applyFont="1" applyFill="1" applyBorder="1" applyAlignment="1">
      <alignment horizontal="center" vertical="center"/>
    </xf>
    <xf numFmtId="0" fontId="3" fillId="6" borderId="19" xfId="0" applyFont="1" applyFill="1" applyBorder="1" applyAlignment="1">
      <alignment horizontal="center" vertical="center"/>
    </xf>
    <xf numFmtId="164" fontId="3" fillId="6" borderId="20" xfId="0" applyNumberFormat="1" applyFont="1" applyFill="1" applyBorder="1" applyAlignment="1">
      <alignment horizontal="center" vertical="center"/>
    </xf>
    <xf numFmtId="2" fontId="3" fillId="2" borderId="49" xfId="0" applyNumberFormat="1" applyFont="1" applyFill="1" applyBorder="1" applyAlignment="1">
      <alignment horizontal="center" vertical="center"/>
    </xf>
    <xf numFmtId="2" fontId="3" fillId="2" borderId="50" xfId="0" applyNumberFormat="1" applyFont="1" applyFill="1" applyBorder="1" applyAlignment="1">
      <alignment horizontal="center" vertical="center"/>
    </xf>
    <xf numFmtId="164" fontId="0" fillId="3" borderId="51" xfId="0" applyNumberFormat="1" applyFill="1" applyBorder="1" applyAlignment="1">
      <alignment horizontal="center" vertical="center"/>
    </xf>
    <xf numFmtId="164" fontId="0" fillId="3" borderId="49" xfId="0" applyNumberFormat="1" applyFill="1" applyBorder="1" applyAlignment="1">
      <alignment horizontal="center" vertical="center"/>
    </xf>
    <xf numFmtId="164" fontId="0" fillId="3" borderId="50" xfId="0" applyNumberFormat="1" applyFill="1" applyBorder="1" applyAlignment="1">
      <alignment horizontal="center" vertical="center"/>
    </xf>
    <xf numFmtId="0" fontId="3" fillId="5" borderId="52"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6" borderId="52" xfId="0" applyFont="1" applyFill="1" applyBorder="1" applyAlignment="1">
      <alignment horizontal="center" vertical="center"/>
    </xf>
    <xf numFmtId="164" fontId="3" fillId="6" borderId="49" xfId="0" applyNumberFormat="1" applyFont="1" applyFill="1" applyBorder="1" applyAlignment="1">
      <alignment horizontal="center" vertical="center"/>
    </xf>
    <xf numFmtId="165" fontId="3" fillId="6" borderId="50" xfId="0" applyNumberFormat="1" applyFont="1" applyFill="1" applyBorder="1" applyAlignment="1">
      <alignment horizontal="center" vertical="center"/>
    </xf>
    <xf numFmtId="0" fontId="3" fillId="7" borderId="52" xfId="0" applyFont="1" applyFill="1" applyBorder="1" applyAlignment="1">
      <alignment horizontal="center" vertical="center"/>
    </xf>
    <xf numFmtId="0" fontId="3" fillId="7" borderId="49" xfId="0" applyFont="1" applyFill="1" applyBorder="1" applyAlignment="1">
      <alignment horizontal="center" vertical="center"/>
    </xf>
    <xf numFmtId="2" fontId="3" fillId="2" borderId="38" xfId="0" applyNumberFormat="1" applyFont="1" applyFill="1" applyBorder="1" applyAlignment="1">
      <alignment horizontal="center" vertical="center"/>
    </xf>
    <xf numFmtId="2" fontId="3" fillId="2" borderId="4" xfId="0" applyNumberFormat="1" applyFont="1" applyFill="1" applyBorder="1" applyAlignment="1">
      <alignment horizontal="center" vertical="center"/>
    </xf>
    <xf numFmtId="2" fontId="3" fillId="2" borderId="39" xfId="0" applyNumberFormat="1" applyFont="1" applyFill="1" applyBorder="1" applyAlignment="1">
      <alignment horizontal="center" vertical="center"/>
    </xf>
    <xf numFmtId="2" fontId="3" fillId="2" borderId="3" xfId="0" applyNumberFormat="1" applyFont="1" applyFill="1" applyBorder="1" applyAlignment="1">
      <alignment horizontal="center" vertical="center"/>
    </xf>
    <xf numFmtId="164" fontId="0" fillId="3" borderId="40" xfId="0" applyNumberFormat="1" applyFill="1" applyBorder="1" applyAlignment="1">
      <alignment horizontal="center" vertical="center"/>
    </xf>
    <xf numFmtId="164" fontId="0" fillId="3" borderId="38" xfId="0" applyNumberFormat="1" applyFill="1" applyBorder="1" applyAlignment="1">
      <alignment horizontal="center" vertical="center"/>
    </xf>
    <xf numFmtId="164" fontId="0" fillId="3" borderId="39" xfId="0" applyNumberFormat="1" applyFill="1" applyBorder="1" applyAlignment="1">
      <alignment horizontal="center" vertical="center"/>
    </xf>
    <xf numFmtId="164" fontId="0" fillId="3" borderId="3" xfId="0" applyNumberFormat="1" applyFill="1" applyBorder="1" applyAlignment="1">
      <alignment horizontal="center" vertical="center"/>
    </xf>
    <xf numFmtId="0" fontId="3" fillId="8" borderId="41" xfId="0" applyFont="1" applyFill="1" applyBorder="1" applyAlignment="1">
      <alignment horizontal="center" vertical="center"/>
    </xf>
    <xf numFmtId="0" fontId="3" fillId="8" borderId="39"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3" fillId="6" borderId="41" xfId="0" applyFont="1" applyFill="1" applyBorder="1" applyAlignment="1">
      <alignment horizontal="center" vertical="center"/>
    </xf>
    <xf numFmtId="164" fontId="3" fillId="6" borderId="38" xfId="0" applyNumberFormat="1" applyFont="1" applyFill="1" applyBorder="1" applyAlignment="1">
      <alignment horizontal="center" vertical="center"/>
    </xf>
    <xf numFmtId="165" fontId="3" fillId="6" borderId="39" xfId="0" applyNumberFormat="1" applyFont="1" applyFill="1" applyBorder="1" applyAlignment="1">
      <alignment horizontal="center" vertical="center"/>
    </xf>
    <xf numFmtId="165" fontId="3" fillId="6" borderId="3" xfId="0" applyNumberFormat="1" applyFont="1" applyFill="1" applyBorder="1" applyAlignment="1">
      <alignment horizontal="center" vertical="center"/>
    </xf>
    <xf numFmtId="0" fontId="3" fillId="7" borderId="39" xfId="0" applyFont="1" applyFill="1" applyBorder="1" applyAlignment="1">
      <alignment horizontal="center" vertical="center"/>
    </xf>
    <xf numFmtId="166" fontId="0" fillId="0" borderId="2" xfId="0" applyNumberFormat="1" applyBorder="1" applyAlignment="1">
      <alignment horizontal="center" vertical="center"/>
    </xf>
    <xf numFmtId="166" fontId="1" fillId="8" borderId="5" xfId="0" applyNumberFormat="1" applyFont="1" applyFill="1" applyBorder="1" applyAlignment="1">
      <alignment horizontal="center" vertical="center"/>
    </xf>
    <xf numFmtId="2" fontId="1" fillId="8" borderId="5" xfId="0" applyNumberFormat="1" applyFont="1" applyFill="1" applyBorder="1" applyAlignment="1">
      <alignment horizontal="center" vertical="center"/>
    </xf>
    <xf numFmtId="2" fontId="0" fillId="0" borderId="2" xfId="0" applyNumberFormat="1" applyBorder="1" applyAlignment="1">
      <alignment horizontal="center" vertical="center"/>
    </xf>
    <xf numFmtId="164" fontId="1" fillId="8" borderId="5" xfId="0" applyNumberFormat="1" applyFont="1" applyFill="1" applyBorder="1" applyAlignment="1">
      <alignment horizontal="center" vertical="center"/>
    </xf>
    <xf numFmtId="2" fontId="1" fillId="8" borderId="8" xfId="0" applyNumberFormat="1" applyFont="1" applyFill="1" applyBorder="1" applyAlignment="1">
      <alignment horizontal="center" vertical="center"/>
    </xf>
    <xf numFmtId="10" fontId="2" fillId="8" borderId="9" xfId="0" applyNumberFormat="1" applyFont="1" applyFill="1" applyBorder="1" applyAlignment="1">
      <alignment horizontal="center" vertical="center" wrapText="1"/>
    </xf>
    <xf numFmtId="2" fontId="0" fillId="12" borderId="2" xfId="0" applyNumberFormat="1" applyFill="1" applyBorder="1" applyAlignment="1">
      <alignment horizontal="center" vertical="center"/>
    </xf>
    <xf numFmtId="2" fontId="3" fillId="8" borderId="2" xfId="0" applyNumberFormat="1" applyFont="1" applyFill="1" applyBorder="1" applyAlignment="1">
      <alignment horizontal="center" vertical="center"/>
    </xf>
    <xf numFmtId="2" fontId="3" fillId="8" borderId="3" xfId="0" applyNumberFormat="1" applyFont="1" applyFill="1" applyBorder="1" applyAlignment="1">
      <alignment horizontal="center" vertical="center"/>
    </xf>
    <xf numFmtId="0" fontId="1" fillId="8" borderId="5" xfId="0" quotePrefix="1" applyFont="1" applyFill="1" applyBorder="1" applyAlignment="1">
      <alignment horizontal="center" vertical="center"/>
    </xf>
    <xf numFmtId="2" fontId="0" fillId="4" borderId="6" xfId="0" applyNumberFormat="1" applyFill="1" applyBorder="1" applyAlignment="1">
      <alignment horizontal="center" vertical="center"/>
    </xf>
    <xf numFmtId="2" fontId="1" fillId="8" borderId="18" xfId="0" applyNumberFormat="1" applyFont="1" applyFill="1" applyBorder="1" applyAlignment="1">
      <alignment horizontal="center" vertical="center"/>
    </xf>
    <xf numFmtId="2" fontId="3" fillId="2" borderId="6" xfId="0" applyNumberFormat="1" applyFont="1" applyFill="1" applyBorder="1" applyAlignment="1">
      <alignment horizontal="center" vertical="center"/>
    </xf>
    <xf numFmtId="2" fontId="3" fillId="2" borderId="21" xfId="0" applyNumberFormat="1" applyFont="1" applyFill="1" applyBorder="1" applyAlignment="1">
      <alignment horizontal="center" vertical="center"/>
    </xf>
    <xf numFmtId="2" fontId="3" fillId="2" borderId="40" xfId="0" applyNumberFormat="1" applyFont="1" applyFill="1" applyBorder="1" applyAlignment="1">
      <alignment horizontal="center" vertical="center"/>
    </xf>
    <xf numFmtId="2" fontId="3" fillId="2" borderId="14" xfId="0" applyNumberFormat="1" applyFont="1" applyFill="1" applyBorder="1" applyAlignment="1">
      <alignment horizontal="center" vertical="center"/>
    </xf>
    <xf numFmtId="2" fontId="3" fillId="2" borderId="51" xfId="0" applyNumberFormat="1" applyFont="1" applyFill="1" applyBorder="1" applyAlignment="1">
      <alignment horizontal="center" vertical="center"/>
    </xf>
    <xf numFmtId="0" fontId="1" fillId="10" borderId="5" xfId="0" applyFont="1" applyFill="1" applyBorder="1" applyAlignment="1">
      <alignment horizontal="center" vertical="center"/>
    </xf>
    <xf numFmtId="0" fontId="1" fillId="10" borderId="19" xfId="0" applyFont="1" applyFill="1" applyBorder="1" applyAlignment="1">
      <alignment horizontal="center" vertical="center"/>
    </xf>
    <xf numFmtId="0" fontId="1" fillId="10" borderId="41"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52" xfId="0" applyFont="1" applyFill="1" applyBorder="1" applyAlignment="1">
      <alignment horizontal="center" vertical="center"/>
    </xf>
    <xf numFmtId="2" fontId="3" fillId="8" borderId="5" xfId="0" applyNumberFormat="1" applyFont="1" applyFill="1" applyBorder="1" applyAlignment="1">
      <alignment horizontal="center" vertical="center"/>
    </xf>
    <xf numFmtId="2" fontId="3" fillId="8" borderId="19" xfId="0" applyNumberFormat="1" applyFont="1" applyFill="1" applyBorder="1" applyAlignment="1">
      <alignment horizontal="center" vertical="center"/>
    </xf>
    <xf numFmtId="2" fontId="3" fillId="8" borderId="8" xfId="0" applyNumberFormat="1" applyFont="1" applyFill="1" applyBorder="1" applyAlignment="1">
      <alignment horizontal="center" vertical="center"/>
    </xf>
    <xf numFmtId="2" fontId="3" fillId="8" borderId="41" xfId="0" applyNumberFormat="1" applyFont="1" applyFill="1" applyBorder="1" applyAlignment="1">
      <alignment horizontal="center" vertical="center"/>
    </xf>
    <xf numFmtId="2" fontId="3" fillId="8" borderId="52" xfId="0" applyNumberFormat="1" applyFont="1" applyFill="1" applyBorder="1" applyAlignment="1">
      <alignment horizontal="center" vertical="center"/>
    </xf>
    <xf numFmtId="2" fontId="3" fillId="8" borderId="22" xfId="0" applyNumberFormat="1" applyFont="1" applyFill="1" applyBorder="1" applyAlignment="1">
      <alignment horizontal="center" vertical="center"/>
    </xf>
    <xf numFmtId="2" fontId="3" fillId="8" borderId="39" xfId="0" applyNumberFormat="1" applyFont="1" applyFill="1" applyBorder="1" applyAlignment="1">
      <alignment horizontal="center" vertical="center"/>
    </xf>
    <xf numFmtId="2" fontId="3" fillId="8" borderId="50" xfId="0" applyNumberFormat="1" applyFont="1" applyFill="1" applyBorder="1" applyAlignment="1">
      <alignment horizontal="center" vertical="center"/>
    </xf>
    <xf numFmtId="0" fontId="9" fillId="10" borderId="40"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14" xfId="0" applyFont="1" applyFill="1" applyBorder="1" applyAlignment="1">
      <alignment horizontal="center" vertical="center"/>
    </xf>
    <xf numFmtId="0" fontId="3" fillId="10" borderId="41"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8" xfId="0" applyFont="1" applyFill="1" applyBorder="1" applyAlignment="1">
      <alignment horizontal="center" vertical="center"/>
    </xf>
    <xf numFmtId="165" fontId="3" fillId="2" borderId="53" xfId="0" applyNumberFormat="1" applyFont="1" applyFill="1" applyBorder="1" applyAlignment="1">
      <alignment horizontal="center" vertical="center"/>
    </xf>
    <xf numFmtId="165" fontId="3" fillId="2" borderId="54" xfId="0" applyNumberFormat="1" applyFont="1" applyFill="1" applyBorder="1" applyAlignment="1">
      <alignment horizontal="center" vertical="center"/>
    </xf>
    <xf numFmtId="2" fontId="3" fillId="2" borderId="53" xfId="0" applyNumberFormat="1" applyFont="1" applyFill="1" applyBorder="1" applyAlignment="1">
      <alignment horizontal="center" vertical="center"/>
    </xf>
    <xf numFmtId="2" fontId="3" fillId="2" borderId="54" xfId="0" applyNumberFormat="1" applyFont="1" applyFill="1" applyBorder="1" applyAlignment="1">
      <alignment horizontal="center" vertical="center"/>
    </xf>
    <xf numFmtId="2" fontId="3" fillId="2" borderId="55" xfId="0" applyNumberFormat="1" applyFont="1" applyFill="1" applyBorder="1" applyAlignment="1">
      <alignment horizontal="center" vertical="center"/>
    </xf>
    <xf numFmtId="2" fontId="3" fillId="2" borderId="56" xfId="0" applyNumberFormat="1" applyFont="1" applyFill="1" applyBorder="1" applyAlignment="1">
      <alignment horizontal="center" vertical="center"/>
    </xf>
    <xf numFmtId="2" fontId="3" fillId="2" borderId="57" xfId="0" applyNumberFormat="1" applyFont="1" applyFill="1" applyBorder="1" applyAlignment="1">
      <alignment horizontal="center" vertical="center"/>
    </xf>
    <xf numFmtId="164" fontId="3" fillId="0" borderId="53" xfId="0" applyNumberFormat="1" applyFont="1" applyBorder="1" applyAlignment="1">
      <alignment horizontal="center" vertical="center"/>
    </xf>
    <xf numFmtId="0" fontId="3" fillId="9" borderId="21" xfId="0" applyFont="1" applyFill="1" applyBorder="1" applyAlignment="1">
      <alignment horizontal="center" vertical="center"/>
    </xf>
    <xf numFmtId="0" fontId="1" fillId="0" borderId="44" xfId="0" applyFont="1" applyBorder="1" applyAlignment="1">
      <alignment horizontal="center" vertical="center"/>
    </xf>
    <xf numFmtId="0" fontId="3" fillId="9" borderId="19" xfId="0" applyFont="1" applyFill="1" applyBorder="1" applyAlignment="1">
      <alignment horizontal="right" vertical="center"/>
    </xf>
    <xf numFmtId="0" fontId="3" fillId="9" borderId="20" xfId="0" applyFont="1" applyFill="1" applyBorder="1" applyAlignment="1">
      <alignment horizontal="right" vertical="center"/>
    </xf>
    <xf numFmtId="0" fontId="3" fillId="9" borderId="22" xfId="0" applyFont="1" applyFill="1" applyBorder="1" applyAlignment="1">
      <alignment horizontal="right" vertical="center"/>
    </xf>
    <xf numFmtId="164" fontId="3" fillId="7" borderId="5" xfId="0" applyNumberFormat="1" applyFont="1" applyFill="1" applyBorder="1" applyAlignment="1">
      <alignment horizontal="center" vertical="center"/>
    </xf>
    <xf numFmtId="164" fontId="3" fillId="7" borderId="19" xfId="0" applyNumberFormat="1" applyFont="1" applyFill="1" applyBorder="1" applyAlignment="1">
      <alignment horizontal="center" vertical="center"/>
    </xf>
    <xf numFmtId="164" fontId="3" fillId="7" borderId="41" xfId="0" applyNumberFormat="1" applyFont="1" applyFill="1" applyBorder="1" applyAlignment="1">
      <alignment horizontal="center" vertical="center"/>
    </xf>
    <xf numFmtId="164" fontId="3" fillId="7" borderId="8" xfId="0" applyNumberFormat="1" applyFont="1" applyFill="1" applyBorder="1" applyAlignment="1">
      <alignment horizontal="center" vertical="center"/>
    </xf>
    <xf numFmtId="164" fontId="3" fillId="7" borderId="52"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64" fontId="3" fillId="7" borderId="20" xfId="0" applyNumberFormat="1" applyFont="1" applyFill="1" applyBorder="1" applyAlignment="1">
      <alignment horizontal="center" vertical="center"/>
    </xf>
    <xf numFmtId="164" fontId="3" fillId="7" borderId="38" xfId="0" applyNumberFormat="1" applyFont="1" applyFill="1" applyBorder="1" applyAlignment="1">
      <alignment horizontal="center" vertical="center"/>
    </xf>
    <xf numFmtId="164" fontId="3" fillId="7" borderId="4" xfId="0" applyNumberFormat="1" applyFont="1" applyFill="1" applyBorder="1" applyAlignment="1">
      <alignment horizontal="center" vertical="center"/>
    </xf>
    <xf numFmtId="164" fontId="3" fillId="7" borderId="49" xfId="0" applyNumberFormat="1" applyFont="1" applyFill="1" applyBorder="1" applyAlignment="1">
      <alignment horizontal="center" vertical="center"/>
    </xf>
    <xf numFmtId="164" fontId="3" fillId="7" borderId="2" xfId="0" applyNumberFormat="1" applyFont="1" applyFill="1" applyBorder="1" applyAlignment="1">
      <alignment horizontal="center" vertical="center"/>
    </xf>
    <xf numFmtId="164" fontId="3" fillId="7" borderId="22" xfId="0" applyNumberFormat="1" applyFont="1" applyFill="1" applyBorder="1" applyAlignment="1">
      <alignment horizontal="center" vertical="center"/>
    </xf>
    <xf numFmtId="164" fontId="3" fillId="7" borderId="39"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0" fontId="3" fillId="9" borderId="0" xfId="0" applyFont="1" applyFill="1" applyAlignment="1">
      <alignment horizontal="right" vertical="center"/>
    </xf>
    <xf numFmtId="0" fontId="9" fillId="7" borderId="52" xfId="0" applyFont="1" applyFill="1" applyBorder="1" applyAlignment="1">
      <alignment horizontal="center" vertical="center"/>
    </xf>
    <xf numFmtId="0" fontId="9" fillId="7" borderId="49" xfId="0" applyFont="1" applyFill="1" applyBorder="1" applyAlignment="1">
      <alignment horizontal="center" vertical="center"/>
    </xf>
    <xf numFmtId="0" fontId="3" fillId="9" borderId="58" xfId="0" applyFont="1" applyFill="1" applyBorder="1" applyAlignment="1">
      <alignment horizontal="right" vertical="center"/>
    </xf>
    <xf numFmtId="0" fontId="3" fillId="9" borderId="59" xfId="0" applyFont="1" applyFill="1" applyBorder="1" applyAlignment="1">
      <alignment horizontal="right" vertical="center"/>
    </xf>
    <xf numFmtId="0" fontId="3" fillId="9" borderId="60" xfId="0" applyFont="1" applyFill="1" applyBorder="1" applyAlignment="1">
      <alignment horizontal="right" vertical="center"/>
    </xf>
    <xf numFmtId="0" fontId="9" fillId="7" borderId="20" xfId="0" applyFont="1" applyFill="1" applyBorder="1" applyAlignment="1">
      <alignment horizontal="center" vertical="center"/>
    </xf>
    <xf numFmtId="0" fontId="9" fillId="14" borderId="38" xfId="0" applyFont="1" applyFill="1" applyBorder="1" applyAlignment="1">
      <alignment horizontal="center" vertical="center"/>
    </xf>
    <xf numFmtId="0" fontId="9" fillId="14" borderId="39" xfId="0" applyFont="1" applyFill="1" applyBorder="1" applyAlignment="1">
      <alignment horizontal="center" vertical="center"/>
    </xf>
    <xf numFmtId="0" fontId="9" fillId="7" borderId="22" xfId="0" applyFont="1" applyFill="1" applyBorder="1" applyAlignment="1">
      <alignment horizontal="center" vertical="center"/>
    </xf>
    <xf numFmtId="0" fontId="9" fillId="7" borderId="50" xfId="0" applyFont="1" applyFill="1" applyBorder="1" applyAlignment="1">
      <alignment horizontal="center" vertical="center"/>
    </xf>
    <xf numFmtId="0" fontId="6" fillId="14" borderId="43" xfId="0" applyFont="1" applyFill="1" applyBorder="1"/>
    <xf numFmtId="0" fontId="7" fillId="14" borderId="45" xfId="0" quotePrefix="1" applyFont="1" applyFill="1" applyBorder="1" applyAlignment="1">
      <alignment wrapText="1"/>
    </xf>
    <xf numFmtId="0" fontId="7" fillId="12" borderId="18"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3" borderId="23" xfId="0" applyFont="1" applyFill="1" applyBorder="1" applyAlignment="1">
      <alignment horizontal="center" vertical="center"/>
    </xf>
    <xf numFmtId="2" fontId="1" fillId="8" borderId="23" xfId="0" applyNumberFormat="1" applyFont="1" applyFill="1" applyBorder="1" applyAlignment="1">
      <alignment horizontal="center" vertical="center"/>
    </xf>
    <xf numFmtId="0" fontId="1" fillId="5" borderId="23" xfId="0" applyFont="1" applyFill="1" applyBorder="1" applyAlignment="1">
      <alignment horizontal="center" vertical="center"/>
    </xf>
    <xf numFmtId="0" fontId="1" fillId="6" borderId="23" xfId="0" applyFont="1" applyFill="1" applyBorder="1" applyAlignment="1">
      <alignment horizontal="center" vertical="center"/>
    </xf>
    <xf numFmtId="0" fontId="1" fillId="7" borderId="23" xfId="0" applyFont="1" applyFill="1" applyBorder="1" applyAlignment="1">
      <alignment horizontal="center" vertical="center"/>
    </xf>
    <xf numFmtId="164" fontId="1" fillId="2" borderId="44" xfId="0" applyNumberFormat="1" applyFont="1" applyFill="1" applyBorder="1" applyAlignment="1">
      <alignment horizontal="center" vertical="center" wrapText="1"/>
    </xf>
    <xf numFmtId="0" fontId="1" fillId="3" borderId="44" xfId="0" applyFont="1" applyFill="1" applyBorder="1" applyAlignment="1">
      <alignment horizontal="center" vertical="center"/>
    </xf>
    <xf numFmtId="2" fontId="1" fillId="8" borderId="44" xfId="0" applyNumberFormat="1" applyFont="1" applyFill="1" applyBorder="1" applyAlignment="1">
      <alignment horizontal="center" vertical="center"/>
    </xf>
    <xf numFmtId="0" fontId="1" fillId="5" borderId="44" xfId="0" applyFont="1" applyFill="1" applyBorder="1" applyAlignment="1">
      <alignment horizontal="center" vertical="center"/>
    </xf>
    <xf numFmtId="0" fontId="1" fillId="6" borderId="44" xfId="0" applyFont="1" applyFill="1" applyBorder="1" applyAlignment="1">
      <alignment horizontal="center" vertical="center"/>
    </xf>
    <xf numFmtId="0" fontId="1" fillId="7" borderId="44" xfId="0" applyFont="1" applyFill="1" applyBorder="1" applyAlignment="1">
      <alignment horizontal="center" vertical="center"/>
    </xf>
    <xf numFmtId="0" fontId="1" fillId="9" borderId="11" xfId="0" applyFont="1" applyFill="1" applyBorder="1" applyAlignment="1">
      <alignment horizontal="center" vertical="center"/>
    </xf>
    <xf numFmtId="2" fontId="1" fillId="9" borderId="11" xfId="0" applyNumberFormat="1" applyFont="1" applyFill="1" applyBorder="1" applyAlignment="1">
      <alignment horizontal="center" vertical="center"/>
    </xf>
    <xf numFmtId="0" fontId="0" fillId="9" borderId="0" xfId="0" applyFill="1" applyAlignment="1">
      <alignment horizontal="center" vertical="center"/>
    </xf>
    <xf numFmtId="0" fontId="1" fillId="9" borderId="0" xfId="0" applyFont="1" applyFill="1" applyAlignment="1">
      <alignment horizontal="center" vertical="center"/>
    </xf>
    <xf numFmtId="0" fontId="5" fillId="9" borderId="11" xfId="0" applyFont="1" applyFill="1" applyBorder="1" applyAlignment="1">
      <alignment horizontal="center" vertical="center"/>
    </xf>
    <xf numFmtId="164" fontId="9" fillId="10" borderId="61" xfId="0" applyNumberFormat="1" applyFont="1" applyFill="1" applyBorder="1" applyAlignment="1">
      <alignment horizontal="left" vertical="center" wrapText="1"/>
    </xf>
    <xf numFmtId="0" fontId="3" fillId="9" borderId="11" xfId="0" applyFont="1" applyFill="1" applyBorder="1" applyAlignment="1">
      <alignment horizontal="center" vertical="center"/>
    </xf>
    <xf numFmtId="164" fontId="9" fillId="9" borderId="11" xfId="0" applyNumberFormat="1" applyFont="1" applyFill="1" applyBorder="1" applyAlignment="1">
      <alignment horizontal="left" vertical="center" wrapText="1"/>
    </xf>
    <xf numFmtId="0" fontId="9" fillId="9" borderId="11" xfId="0" applyFont="1" applyFill="1" applyBorder="1" applyAlignment="1">
      <alignment horizontal="left" vertical="center" wrapText="1"/>
    </xf>
    <xf numFmtId="0" fontId="1" fillId="9" borderId="11" xfId="0" applyFont="1" applyFill="1" applyBorder="1" applyAlignment="1">
      <alignment horizontal="center" vertical="center" wrapText="1"/>
    </xf>
    <xf numFmtId="0" fontId="3" fillId="9" borderId="0" xfId="0" applyFont="1" applyFill="1" applyAlignment="1">
      <alignment vertical="center"/>
    </xf>
    <xf numFmtId="0" fontId="9" fillId="0" borderId="62" xfId="0" applyFont="1" applyBorder="1" applyAlignment="1">
      <alignment vertical="center"/>
    </xf>
    <xf numFmtId="0" fontId="9" fillId="0" borderId="63" xfId="0" applyFont="1" applyBorder="1" applyAlignment="1">
      <alignment vertical="center"/>
    </xf>
    <xf numFmtId="0" fontId="9" fillId="0" borderId="57" xfId="0" applyFont="1" applyBorder="1" applyAlignment="1">
      <alignment vertical="center"/>
    </xf>
    <xf numFmtId="0" fontId="9" fillId="0" borderId="64" xfId="0" applyFont="1" applyBorder="1" applyAlignment="1">
      <alignment vertical="center"/>
    </xf>
    <xf numFmtId="0" fontId="9" fillId="0" borderId="51" xfId="0" applyFont="1" applyBorder="1" applyAlignment="1">
      <alignment vertical="center"/>
    </xf>
    <xf numFmtId="0" fontId="3" fillId="9" borderId="33" xfId="0" applyFont="1" applyFill="1" applyBorder="1" applyAlignment="1">
      <alignment horizontal="right" vertical="center"/>
    </xf>
    <xf numFmtId="0" fontId="3" fillId="9" borderId="26" xfId="0" applyFont="1" applyFill="1" applyBorder="1" applyAlignment="1">
      <alignment horizontal="right" vertical="center"/>
    </xf>
    <xf numFmtId="164" fontId="9" fillId="0" borderId="11" xfId="0" applyNumberFormat="1" applyFont="1" applyBorder="1" applyAlignment="1">
      <alignment horizontal="center" vertical="center"/>
    </xf>
    <xf numFmtId="166" fontId="4" fillId="0" borderId="5" xfId="0" applyNumberFormat="1" applyFont="1" applyBorder="1" applyAlignment="1">
      <alignment horizontal="center" vertical="center" wrapText="1"/>
    </xf>
    <xf numFmtId="166" fontId="1" fillId="6" borderId="5" xfId="0" applyNumberFormat="1" applyFont="1" applyFill="1" applyBorder="1" applyAlignment="1">
      <alignment horizontal="center" vertical="center"/>
    </xf>
    <xf numFmtId="166" fontId="1" fillId="6" borderId="8" xfId="0" applyNumberFormat="1" applyFont="1" applyFill="1" applyBorder="1" applyAlignment="1">
      <alignment horizontal="center" vertical="center"/>
    </xf>
    <xf numFmtId="166" fontId="1" fillId="0" borderId="0" xfId="0" applyNumberFormat="1" applyFont="1" applyAlignment="1">
      <alignment vertical="center"/>
    </xf>
    <xf numFmtId="2" fontId="1" fillId="6" borderId="5" xfId="0" applyNumberFormat="1" applyFont="1" applyFill="1" applyBorder="1" applyAlignment="1">
      <alignment horizontal="center" vertical="center"/>
    </xf>
    <xf numFmtId="0" fontId="16" fillId="0" borderId="0" xfId="0" applyFont="1" applyAlignment="1">
      <alignment vertical="center"/>
    </xf>
    <xf numFmtId="166" fontId="9" fillId="6" borderId="38"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164" fontId="3" fillId="9" borderId="5"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53" xfId="0" applyFont="1" applyBorder="1" applyAlignment="1">
      <alignment horizontal="center" vertical="center" wrapText="1"/>
    </xf>
    <xf numFmtId="164" fontId="0" fillId="3" borderId="53" xfId="0" applyNumberFormat="1" applyFill="1" applyBorder="1" applyAlignment="1">
      <alignment horizontal="center" vertical="center"/>
    </xf>
    <xf numFmtId="164" fontId="0" fillId="3" borderId="54" xfId="0" applyNumberFormat="1" applyFill="1" applyBorder="1" applyAlignment="1">
      <alignment horizontal="center" vertical="center"/>
    </xf>
    <xf numFmtId="164" fontId="0" fillId="3" borderId="55" xfId="0" applyNumberFormat="1" applyFill="1" applyBorder="1" applyAlignment="1">
      <alignment horizontal="center" vertical="center"/>
    </xf>
    <xf numFmtId="164" fontId="0" fillId="3" borderId="56" xfId="0" applyNumberFormat="1" applyFill="1" applyBorder="1" applyAlignment="1">
      <alignment horizontal="center" vertical="center"/>
    </xf>
    <xf numFmtId="164" fontId="0" fillId="3" borderId="57" xfId="0" applyNumberFormat="1" applyFill="1" applyBorder="1" applyAlignment="1">
      <alignment horizontal="center" vertical="center"/>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166" fontId="0" fillId="3" borderId="6" xfId="0" applyNumberFormat="1" applyFill="1" applyBorder="1" applyAlignment="1">
      <alignment horizontal="center" vertical="center"/>
    </xf>
    <xf numFmtId="166" fontId="0" fillId="3" borderId="14" xfId="0" applyNumberFormat="1" applyFill="1" applyBorder="1" applyAlignment="1">
      <alignment horizontal="center" vertical="center"/>
    </xf>
    <xf numFmtId="166" fontId="0" fillId="3" borderId="1" xfId="0" applyNumberFormat="1" applyFill="1" applyBorder="1" applyAlignment="1">
      <alignment horizontal="center" vertical="center"/>
    </xf>
    <xf numFmtId="166" fontId="0" fillId="3" borderId="4" xfId="0" applyNumberFormat="1" applyFill="1" applyBorder="1" applyAlignment="1">
      <alignment horizontal="center" vertical="center"/>
    </xf>
    <xf numFmtId="166" fontId="0" fillId="3" borderId="53" xfId="0" applyNumberFormat="1" applyFill="1" applyBorder="1" applyAlignment="1">
      <alignment horizontal="center" vertical="center"/>
    </xf>
    <xf numFmtId="166" fontId="0" fillId="3" borderId="2" xfId="0" applyNumberFormat="1" applyFill="1" applyBorder="1" applyAlignment="1">
      <alignment horizontal="center" vertical="center"/>
    </xf>
    <xf numFmtId="166" fontId="3" fillId="3" borderId="2" xfId="0" applyNumberFormat="1" applyFont="1" applyFill="1" applyBorder="1" applyAlignment="1">
      <alignment horizontal="center" vertical="center"/>
    </xf>
    <xf numFmtId="164" fontId="21" fillId="3" borderId="1" xfId="0" applyNumberFormat="1" applyFont="1" applyFill="1" applyBorder="1" applyAlignment="1">
      <alignment horizontal="center" vertical="center"/>
    </xf>
    <xf numFmtId="0" fontId="7" fillId="0" borderId="45" xfId="0" applyFont="1" applyBorder="1" applyAlignment="1">
      <alignment horizontal="center" vertical="center" wrapText="1"/>
    </xf>
    <xf numFmtId="0" fontId="7" fillId="0" borderId="43" xfId="0" applyFont="1" applyBorder="1" applyAlignment="1">
      <alignment horizontal="center" vertical="center" wrapText="1"/>
    </xf>
    <xf numFmtId="1" fontId="0" fillId="9" borderId="62" xfId="0" applyNumberFormat="1" applyFill="1" applyBorder="1" applyAlignment="1">
      <alignment horizontal="center" vertical="center"/>
    </xf>
    <xf numFmtId="1" fontId="3" fillId="9" borderId="50" xfId="0" applyNumberFormat="1" applyFont="1" applyFill="1" applyBorder="1" applyAlignment="1">
      <alignment horizontal="center" vertical="center"/>
    </xf>
    <xf numFmtId="166" fontId="0" fillId="3" borderId="56" xfId="0" applyNumberFormat="1" applyFill="1" applyBorder="1" applyAlignment="1">
      <alignment horizontal="center" vertical="center"/>
    </xf>
    <xf numFmtId="166" fontId="0" fillId="3" borderId="3" xfId="0" applyNumberFormat="1" applyFill="1" applyBorder="1" applyAlignment="1">
      <alignment horizontal="center" vertical="center"/>
    </xf>
    <xf numFmtId="164" fontId="3" fillId="9" borderId="20" xfId="0" applyNumberFormat="1" applyFont="1" applyFill="1" applyBorder="1" applyAlignment="1">
      <alignment horizontal="left" vertical="center"/>
    </xf>
    <xf numFmtId="164" fontId="3" fillId="9" borderId="21" xfId="0" applyNumberFormat="1" applyFont="1" applyFill="1" applyBorder="1" applyAlignment="1">
      <alignment horizontal="left" vertical="center"/>
    </xf>
    <xf numFmtId="0" fontId="9" fillId="0" borderId="16" xfId="0" applyFont="1" applyBorder="1" applyAlignment="1">
      <alignment horizontal="center" vertical="center" wrapText="1"/>
    </xf>
    <xf numFmtId="165" fontId="9" fillId="3" borderId="16" xfId="0" applyNumberFormat="1" applyFont="1" applyFill="1" applyBorder="1" applyAlignment="1">
      <alignment horizontal="center" vertical="center"/>
    </xf>
    <xf numFmtId="165" fontId="9" fillId="3" borderId="65" xfId="0" applyNumberFormat="1" applyFont="1" applyFill="1" applyBorder="1" applyAlignment="1">
      <alignment horizontal="center" vertical="center"/>
    </xf>
    <xf numFmtId="165" fontId="9" fillId="3" borderId="1" xfId="0" applyNumberFormat="1" applyFont="1" applyFill="1" applyBorder="1" applyAlignment="1">
      <alignment horizontal="center" vertical="center"/>
    </xf>
    <xf numFmtId="165" fontId="9" fillId="3" borderId="4" xfId="0" applyNumberFormat="1" applyFont="1" applyFill="1" applyBorder="1" applyAlignment="1">
      <alignment horizontal="center" vertical="center"/>
    </xf>
    <xf numFmtId="164" fontId="9" fillId="0" borderId="53" xfId="0" applyNumberFormat="1" applyFont="1" applyBorder="1" applyAlignment="1">
      <alignment horizontal="center" vertical="center"/>
    </xf>
    <xf numFmtId="164" fontId="3" fillId="2" borderId="38" xfId="0" applyNumberFormat="1" applyFont="1" applyFill="1" applyBorder="1" applyAlignment="1">
      <alignment horizontal="center" vertical="center"/>
    </xf>
    <xf numFmtId="167" fontId="3" fillId="8" borderId="41" xfId="0" applyNumberFormat="1" applyFont="1" applyFill="1" applyBorder="1" applyAlignment="1">
      <alignment horizontal="center" vertical="center"/>
    </xf>
    <xf numFmtId="0" fontId="1" fillId="0" borderId="23" xfId="0" applyFont="1" applyBorder="1"/>
    <xf numFmtId="164" fontId="9" fillId="3" borderId="25" xfId="0" applyNumberFormat="1" applyFont="1" applyFill="1" applyBorder="1" applyAlignment="1">
      <alignment horizontal="center" vertical="center"/>
    </xf>
    <xf numFmtId="164" fontId="9" fillId="3" borderId="49" xfId="0" applyNumberFormat="1" applyFont="1" applyFill="1" applyBorder="1" applyAlignment="1">
      <alignment horizontal="center" vertical="center"/>
    </xf>
    <xf numFmtId="0" fontId="1" fillId="0" borderId="15" xfId="0" applyFont="1" applyBorder="1" applyAlignment="1">
      <alignment horizontal="center" vertical="center" wrapText="1"/>
    </xf>
    <xf numFmtId="2" fontId="0" fillId="9" borderId="2" xfId="0" applyNumberFormat="1" applyFill="1" applyBorder="1" applyAlignment="1">
      <alignment horizontal="center" vertical="center"/>
    </xf>
    <xf numFmtId="0" fontId="0" fillId="0" borderId="0" xfId="0" applyAlignment="1">
      <alignment horizontal="right" vertical="center"/>
    </xf>
    <xf numFmtId="0" fontId="1" fillId="0" borderId="0" xfId="0" applyFont="1" applyAlignment="1">
      <alignment horizontal="right" vertical="center"/>
    </xf>
    <xf numFmtId="0" fontId="5" fillId="0" borderId="0" xfId="0" applyFont="1" applyAlignment="1">
      <alignment horizontal="right" vertical="center"/>
    </xf>
    <xf numFmtId="164" fontId="9" fillId="0" borderId="0" xfId="0" applyNumberFormat="1" applyFont="1" applyAlignment="1">
      <alignment horizontal="right" vertical="center"/>
    </xf>
    <xf numFmtId="0" fontId="9" fillId="0" borderId="0" xfId="0" applyFont="1" applyAlignment="1">
      <alignment horizontal="right" vertical="center"/>
    </xf>
    <xf numFmtId="0" fontId="0" fillId="0" borderId="0" xfId="0" applyAlignment="1">
      <alignment horizontal="right"/>
    </xf>
    <xf numFmtId="0" fontId="9" fillId="0" borderId="43" xfId="0" applyFont="1" applyBorder="1" applyAlignment="1">
      <alignment vertical="center"/>
    </xf>
    <xf numFmtId="0" fontId="5" fillId="0" borderId="43" xfId="0" applyFont="1" applyBorder="1" applyAlignment="1">
      <alignment vertical="center"/>
    </xf>
    <xf numFmtId="0" fontId="5" fillId="0" borderId="45" xfId="0" applyFont="1" applyBorder="1" applyAlignment="1">
      <alignment vertical="center"/>
    </xf>
    <xf numFmtId="0" fontId="1" fillId="9" borderId="11" xfId="0" applyFont="1" applyFill="1" applyBorder="1" applyAlignment="1">
      <alignment horizontal="right" vertical="center"/>
    </xf>
    <xf numFmtId="0" fontId="17" fillId="0" borderId="17" xfId="0" applyFont="1" applyBorder="1" applyAlignment="1">
      <alignment horizontal="center" vertical="center" wrapText="1"/>
    </xf>
    <xf numFmtId="0" fontId="9" fillId="0" borderId="43" xfId="0" applyFont="1" applyBorder="1" applyAlignment="1">
      <alignment horizontal="right" vertical="center"/>
    </xf>
    <xf numFmtId="0" fontId="9" fillId="0" borderId="43" xfId="0" applyFont="1" applyBorder="1" applyAlignment="1">
      <alignment horizontal="right"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164" fontId="3" fillId="0" borderId="0" xfId="0" applyNumberFormat="1" applyFont="1" applyAlignment="1">
      <alignment horizontal="center"/>
    </xf>
    <xf numFmtId="0" fontId="0" fillId="0" borderId="31" xfId="0" applyBorder="1" applyAlignment="1">
      <alignment horizontal="center" vertical="center" wrapText="1"/>
    </xf>
    <xf numFmtId="164" fontId="3" fillId="0" borderId="0" xfId="0" applyNumberFormat="1" applyFont="1" applyAlignment="1">
      <alignment horizontal="center" vertical="center"/>
    </xf>
    <xf numFmtId="166" fontId="3" fillId="0" borderId="0" xfId="0" applyNumberFormat="1" applyFont="1" applyAlignment="1">
      <alignment horizontal="center" vertical="center"/>
    </xf>
    <xf numFmtId="166" fontId="0" fillId="9" borderId="2" xfId="0" applyNumberFormat="1" applyFill="1" applyBorder="1" applyAlignment="1">
      <alignment horizontal="center" vertical="center"/>
    </xf>
    <xf numFmtId="2" fontId="0" fillId="9" borderId="6" xfId="0" applyNumberFormat="1" applyFill="1" applyBorder="1" applyAlignment="1">
      <alignment horizontal="center" vertical="center"/>
    </xf>
    <xf numFmtId="2" fontId="0" fillId="9" borderId="3" xfId="0" applyNumberFormat="1" applyFill="1" applyBorder="1" applyAlignment="1">
      <alignment horizontal="center" vertical="center"/>
    </xf>
    <xf numFmtId="2" fontId="3" fillId="9" borderId="2" xfId="0" applyNumberFormat="1" applyFont="1" applyFill="1" applyBorder="1" applyAlignment="1">
      <alignment horizontal="center" vertical="center"/>
    </xf>
    <xf numFmtId="0" fontId="0" fillId="9" borderId="2" xfId="0" applyFill="1" applyBorder="1" applyAlignment="1">
      <alignment horizontal="center" vertical="center"/>
    </xf>
    <xf numFmtId="2" fontId="3" fillId="9" borderId="3" xfId="0" applyNumberFormat="1" applyFont="1" applyFill="1" applyBorder="1" applyAlignment="1">
      <alignment horizontal="center" vertical="center"/>
    </xf>
    <xf numFmtId="164" fontId="0" fillId="0" borderId="0" xfId="0" applyNumberFormat="1"/>
    <xf numFmtId="0" fontId="1" fillId="0" borderId="0" xfId="0" applyFont="1"/>
    <xf numFmtId="0" fontId="0" fillId="0" borderId="18" xfId="0" applyBorder="1" applyAlignment="1">
      <alignment horizontal="center" vertical="center" wrapText="1"/>
    </xf>
    <xf numFmtId="0" fontId="3" fillId="0" borderId="7"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64" fontId="1" fillId="10" borderId="5" xfId="0" applyNumberFormat="1" applyFont="1" applyFill="1" applyBorder="1" applyAlignment="1">
      <alignment horizontal="center" vertical="center" wrapText="1"/>
    </xf>
    <xf numFmtId="0" fontId="1" fillId="11" borderId="5" xfId="0" applyFont="1" applyFill="1" applyBorder="1" applyAlignment="1">
      <alignment horizontal="center" vertical="center"/>
    </xf>
    <xf numFmtId="0" fontId="1" fillId="12" borderId="5" xfId="0" applyFont="1" applyFill="1" applyBorder="1" applyAlignment="1">
      <alignment horizontal="center" vertical="center"/>
    </xf>
    <xf numFmtId="0" fontId="1" fillId="13" borderId="5" xfId="0" applyFont="1" applyFill="1" applyBorder="1" applyAlignment="1">
      <alignment horizontal="center" vertical="center"/>
    </xf>
    <xf numFmtId="0" fontId="1" fillId="15" borderId="5" xfId="0" applyFont="1" applyFill="1" applyBorder="1" applyAlignment="1">
      <alignment horizontal="center" vertical="center"/>
    </xf>
    <xf numFmtId="0" fontId="1" fillId="14" borderId="6" xfId="0" applyFont="1" applyFill="1" applyBorder="1" applyAlignment="1">
      <alignment horizontal="center" vertical="center"/>
    </xf>
    <xf numFmtId="0" fontId="0" fillId="10" borderId="41" xfId="0" applyFill="1" applyBorder="1" applyAlignment="1">
      <alignment horizontal="center" vertical="center"/>
    </xf>
    <xf numFmtId="0" fontId="0" fillId="11" borderId="38" xfId="0" applyFill="1" applyBorder="1" applyAlignment="1">
      <alignment horizontal="center" vertical="center"/>
    </xf>
    <xf numFmtId="10" fontId="0" fillId="11" borderId="1" xfId="0" applyNumberFormat="1" applyFill="1" applyBorder="1" applyAlignment="1">
      <alignment horizontal="center" vertical="center" wrapText="1"/>
    </xf>
    <xf numFmtId="10" fontId="0" fillId="12" borderId="1" xfId="0" applyNumberFormat="1" applyFill="1" applyBorder="1" applyAlignment="1">
      <alignment horizontal="center" vertical="center" wrapText="1"/>
    </xf>
    <xf numFmtId="10" fontId="0" fillId="12" borderId="4" xfId="0" applyNumberFormat="1" applyFill="1" applyBorder="1" applyAlignment="1">
      <alignment horizontal="center" vertical="center" wrapText="1"/>
    </xf>
    <xf numFmtId="0" fontId="0" fillId="13" borderId="38" xfId="0" applyFill="1" applyBorder="1" applyAlignment="1">
      <alignment horizontal="center" vertical="center"/>
    </xf>
    <xf numFmtId="10" fontId="0" fillId="13" borderId="1" xfId="0" applyNumberFormat="1" applyFill="1" applyBorder="1" applyAlignment="1">
      <alignment horizontal="center" vertical="center" wrapText="1"/>
    </xf>
    <xf numFmtId="10" fontId="0" fillId="13" borderId="4" xfId="0" applyNumberFormat="1" applyFill="1" applyBorder="1" applyAlignment="1">
      <alignment horizontal="center" vertical="center" wrapText="1"/>
    </xf>
    <xf numFmtId="0" fontId="0" fillId="15" borderId="38" xfId="0" applyFill="1" applyBorder="1" applyAlignment="1">
      <alignment horizontal="center" vertical="center"/>
    </xf>
    <xf numFmtId="10" fontId="0" fillId="15" borderId="1" xfId="0" applyNumberFormat="1" applyFill="1" applyBorder="1" applyAlignment="1">
      <alignment horizontal="center" vertical="center" wrapText="1"/>
    </xf>
    <xf numFmtId="10" fontId="0" fillId="15" borderId="4" xfId="0" applyNumberFormat="1" applyFill="1" applyBorder="1" applyAlignment="1">
      <alignment horizontal="center" vertical="center" wrapText="1"/>
    </xf>
    <xf numFmtId="0" fontId="0" fillId="14" borderId="39" xfId="0" applyFill="1" applyBorder="1" applyAlignment="1">
      <alignment horizontal="center" vertical="center"/>
    </xf>
    <xf numFmtId="10" fontId="0" fillId="14" borderId="2" xfId="0" applyNumberFormat="1" applyFill="1" applyBorder="1" applyAlignment="1">
      <alignment horizontal="center" vertical="center" wrapText="1"/>
    </xf>
    <xf numFmtId="10" fontId="0" fillId="14" borderId="3" xfId="0" applyNumberFormat="1" applyFill="1" applyBorder="1" applyAlignment="1">
      <alignment horizontal="center" vertical="center" wrapText="1"/>
    </xf>
    <xf numFmtId="0" fontId="3" fillId="0" borderId="5" xfId="0" applyFont="1" applyBorder="1" applyAlignment="1">
      <alignment horizontal="center" vertical="center" wrapText="1"/>
    </xf>
    <xf numFmtId="0" fontId="19" fillId="0" borderId="0" xfId="0" applyFont="1"/>
    <xf numFmtId="164" fontId="1" fillId="10" borderId="8" xfId="0" applyNumberFormat="1" applyFont="1" applyFill="1" applyBorder="1" applyAlignment="1">
      <alignment horizontal="center" vertical="center" wrapText="1"/>
    </xf>
    <xf numFmtId="164" fontId="1" fillId="0" borderId="10" xfId="0" applyNumberFormat="1" applyFont="1" applyBorder="1" applyAlignment="1">
      <alignment horizontal="center" vertical="center"/>
    </xf>
    <xf numFmtId="0" fontId="22" fillId="0" borderId="0" xfId="0" applyFont="1" applyAlignment="1">
      <alignment horizontal="center" vertical="center" wrapText="1"/>
    </xf>
    <xf numFmtId="164" fontId="1" fillId="0" borderId="12" xfId="0" applyNumberFormat="1" applyFont="1" applyBorder="1" applyAlignment="1">
      <alignment horizontal="center" vertical="center"/>
    </xf>
    <xf numFmtId="164" fontId="1" fillId="0" borderId="13" xfId="0" applyNumberFormat="1" applyFont="1" applyBorder="1" applyAlignment="1">
      <alignment horizontal="center" vertical="center"/>
    </xf>
    <xf numFmtId="164" fontId="1" fillId="0" borderId="7" xfId="0" applyNumberFormat="1" applyFont="1" applyBorder="1" applyAlignment="1">
      <alignment horizontal="center" vertical="center"/>
    </xf>
    <xf numFmtId="1" fontId="1" fillId="0" borderId="43" xfId="0" applyNumberFormat="1" applyFont="1" applyBorder="1" applyAlignment="1">
      <alignment horizontal="center" vertical="center"/>
    </xf>
    <xf numFmtId="165" fontId="3" fillId="10" borderId="7" xfId="0" applyNumberFormat="1" applyFont="1" applyFill="1" applyBorder="1" applyAlignment="1">
      <alignment horizontal="center" vertical="center"/>
    </xf>
    <xf numFmtId="165" fontId="3" fillId="0" borderId="0" xfId="0" applyNumberFormat="1" applyFont="1" applyAlignment="1">
      <alignment horizontal="center" vertical="center"/>
    </xf>
    <xf numFmtId="164" fontId="21" fillId="0" borderId="0" xfId="0" applyNumberFormat="1" applyFont="1" applyAlignment="1">
      <alignment horizontal="center" vertical="center" wrapText="1"/>
    </xf>
    <xf numFmtId="164" fontId="0" fillId="0" borderId="0" xfId="0" applyNumberFormat="1" applyAlignment="1">
      <alignment horizontal="center" vertical="center" wrapText="1"/>
    </xf>
    <xf numFmtId="164" fontId="1" fillId="0" borderId="18" xfId="0" applyNumberFormat="1" applyFont="1" applyBorder="1" applyAlignment="1">
      <alignment horizontal="center" vertical="center"/>
    </xf>
    <xf numFmtId="165" fontId="3" fillId="11" borderId="12" xfId="0" applyNumberFormat="1" applyFont="1" applyFill="1" applyBorder="1" applyAlignment="1">
      <alignment horizontal="center" vertical="center"/>
    </xf>
    <xf numFmtId="165" fontId="3" fillId="12" borderId="12" xfId="0" applyNumberFormat="1" applyFont="1" applyFill="1" applyBorder="1" applyAlignment="1">
      <alignment horizontal="center" vertical="center"/>
    </xf>
    <xf numFmtId="165" fontId="1" fillId="12" borderId="12" xfId="0" applyNumberFormat="1" applyFont="1" applyFill="1" applyBorder="1" applyAlignment="1">
      <alignment horizontal="center" vertical="center"/>
    </xf>
    <xf numFmtId="0" fontId="1" fillId="13" borderId="12" xfId="0" applyFont="1" applyFill="1" applyBorder="1" applyAlignment="1">
      <alignment horizontal="center" vertical="center"/>
    </xf>
    <xf numFmtId="164" fontId="1" fillId="13" borderId="12" xfId="0" applyNumberFormat="1" applyFont="1" applyFill="1" applyBorder="1" applyAlignment="1">
      <alignment horizontal="center" vertical="center"/>
    </xf>
    <xf numFmtId="165" fontId="3" fillId="15" borderId="12" xfId="0" applyNumberFormat="1" applyFont="1" applyFill="1" applyBorder="1" applyAlignment="1">
      <alignment horizontal="center" vertical="center"/>
    </xf>
    <xf numFmtId="165" fontId="1" fillId="15" borderId="12" xfId="0" applyNumberFormat="1" applyFont="1" applyFill="1" applyBorder="1" applyAlignment="1">
      <alignment horizontal="center" vertical="center"/>
    </xf>
    <xf numFmtId="165" fontId="3" fillId="14" borderId="13" xfId="0" applyNumberFormat="1" applyFont="1" applyFill="1" applyBorder="1" applyAlignment="1">
      <alignment horizontal="center" vertical="center"/>
    </xf>
    <xf numFmtId="165" fontId="1" fillId="14" borderId="13" xfId="0" applyNumberFormat="1" applyFont="1" applyFill="1" applyBorder="1" applyAlignment="1">
      <alignment horizontal="center" vertical="center"/>
    </xf>
    <xf numFmtId="165" fontId="1" fillId="10" borderId="7" xfId="0" applyNumberFormat="1" applyFont="1" applyFill="1" applyBorder="1" applyAlignment="1">
      <alignment horizontal="center" vertical="center"/>
    </xf>
    <xf numFmtId="164" fontId="1" fillId="11" borderId="12" xfId="0" applyNumberFormat="1" applyFont="1" applyFill="1" applyBorder="1" applyAlignment="1">
      <alignment horizontal="center" vertical="center"/>
    </xf>
    <xf numFmtId="165" fontId="1" fillId="12" borderId="7" xfId="0" applyNumberFormat="1" applyFont="1" applyFill="1" applyBorder="1" applyAlignment="1">
      <alignment horizontal="center" vertical="center"/>
    </xf>
    <xf numFmtId="165" fontId="1" fillId="15" borderId="7" xfId="0" applyNumberFormat="1" applyFont="1" applyFill="1" applyBorder="1" applyAlignment="1">
      <alignment horizontal="center" vertical="center"/>
    </xf>
    <xf numFmtId="165" fontId="1" fillId="14" borderId="7" xfId="0" applyNumberFormat="1" applyFont="1" applyFill="1" applyBorder="1" applyAlignment="1">
      <alignment horizontal="center" vertical="center"/>
    </xf>
    <xf numFmtId="165" fontId="1" fillId="13" borderId="7" xfId="0" applyNumberFormat="1" applyFont="1" applyFill="1" applyBorder="1" applyAlignment="1">
      <alignment horizontal="center" vertical="center"/>
    </xf>
    <xf numFmtId="165" fontId="1" fillId="11" borderId="7" xfId="0" applyNumberFormat="1" applyFont="1" applyFill="1" applyBorder="1" applyAlignment="1">
      <alignment horizontal="center" vertical="center"/>
    </xf>
    <xf numFmtId="2" fontId="1" fillId="10" borderId="7" xfId="0" applyNumberFormat="1" applyFont="1" applyFill="1" applyBorder="1" applyAlignment="1">
      <alignment horizontal="center"/>
    </xf>
    <xf numFmtId="164" fontId="1" fillId="11" borderId="12" xfId="0" applyNumberFormat="1" applyFont="1" applyFill="1" applyBorder="1" applyAlignment="1">
      <alignment horizontal="center"/>
    </xf>
    <xf numFmtId="164" fontId="1" fillId="12" borderId="12" xfId="0" applyNumberFormat="1" applyFont="1" applyFill="1" applyBorder="1" applyAlignment="1">
      <alignment horizontal="center"/>
    </xf>
    <xf numFmtId="165" fontId="1" fillId="13" borderId="12" xfId="0" applyNumberFormat="1" applyFont="1" applyFill="1" applyBorder="1" applyAlignment="1">
      <alignment horizontal="center"/>
    </xf>
    <xf numFmtId="164" fontId="1" fillId="15" borderId="12" xfId="0" applyNumberFormat="1" applyFont="1" applyFill="1" applyBorder="1" applyAlignment="1">
      <alignment horizontal="center"/>
    </xf>
    <xf numFmtId="165" fontId="1" fillId="14" borderId="13" xfId="0" applyNumberFormat="1" applyFont="1" applyFill="1" applyBorder="1" applyAlignment="1">
      <alignment horizontal="center"/>
    </xf>
    <xf numFmtId="2" fontId="1" fillId="13" borderId="12" xfId="0" applyNumberFormat="1" applyFont="1" applyFill="1" applyBorder="1" applyAlignment="1">
      <alignment horizontal="center"/>
    </xf>
    <xf numFmtId="164" fontId="1" fillId="13" borderId="12" xfId="0" applyNumberFormat="1" applyFont="1" applyFill="1" applyBorder="1" applyAlignment="1">
      <alignment horizontal="center"/>
    </xf>
    <xf numFmtId="164" fontId="1" fillId="10" borderId="7" xfId="0" applyNumberFormat="1" applyFont="1" applyFill="1" applyBorder="1" applyAlignment="1">
      <alignment horizontal="center" vertical="center"/>
    </xf>
    <xf numFmtId="164" fontId="1" fillId="12" borderId="12" xfId="0" applyNumberFormat="1" applyFont="1" applyFill="1" applyBorder="1" applyAlignment="1">
      <alignment horizontal="center" vertical="center"/>
    </xf>
    <xf numFmtId="165" fontId="1" fillId="13" borderId="12" xfId="0" applyNumberFormat="1" applyFont="1" applyFill="1" applyBorder="1" applyAlignment="1">
      <alignment horizontal="center" vertical="center"/>
    </xf>
    <xf numFmtId="164" fontId="1" fillId="15" borderId="12" xfId="0" applyNumberFormat="1" applyFont="1" applyFill="1" applyBorder="1" applyAlignment="1">
      <alignment horizontal="center" vertical="center"/>
    </xf>
    <xf numFmtId="2" fontId="1" fillId="12" borderId="12" xfId="0" applyNumberFormat="1" applyFont="1" applyFill="1" applyBorder="1" applyAlignment="1">
      <alignment horizontal="center" vertical="center"/>
    </xf>
    <xf numFmtId="165" fontId="1" fillId="11" borderId="12" xfId="0" applyNumberFormat="1" applyFont="1" applyFill="1" applyBorder="1" applyAlignment="1">
      <alignment horizontal="center" vertical="center"/>
    </xf>
    <xf numFmtId="2" fontId="1" fillId="10" borderId="7" xfId="0" applyNumberFormat="1" applyFont="1" applyFill="1" applyBorder="1" applyAlignment="1">
      <alignment horizontal="center" vertical="center"/>
    </xf>
    <xf numFmtId="2" fontId="1" fillId="13" borderId="12" xfId="0" applyNumberFormat="1" applyFont="1" applyFill="1" applyBorder="1" applyAlignment="1">
      <alignment horizontal="center" vertical="center"/>
    </xf>
    <xf numFmtId="2" fontId="1" fillId="15" borderId="12" xfId="0" applyNumberFormat="1" applyFont="1" applyFill="1" applyBorder="1" applyAlignment="1">
      <alignment horizontal="center" vertical="center"/>
    </xf>
    <xf numFmtId="166" fontId="1" fillId="15" borderId="12" xfId="0" applyNumberFormat="1" applyFont="1" applyFill="1" applyBorder="1" applyAlignment="1">
      <alignment horizontal="center" vertical="center"/>
    </xf>
    <xf numFmtId="2" fontId="1" fillId="11" borderId="12" xfId="0" applyNumberFormat="1" applyFont="1" applyFill="1" applyBorder="1" applyAlignment="1">
      <alignment horizontal="center" vertical="center"/>
    </xf>
    <xf numFmtId="165" fontId="1" fillId="15" borderId="13" xfId="0" applyNumberFormat="1" applyFont="1" applyFill="1" applyBorder="1" applyAlignment="1">
      <alignment horizontal="center" vertical="center"/>
    </xf>
    <xf numFmtId="165" fontId="1" fillId="14" borderId="18" xfId="0" applyNumberFormat="1" applyFont="1" applyFill="1" applyBorder="1" applyAlignment="1">
      <alignment horizontal="center" vertical="center"/>
    </xf>
    <xf numFmtId="164" fontId="1" fillId="10" borderId="7" xfId="0" applyNumberFormat="1" applyFont="1" applyFill="1" applyBorder="1" applyAlignment="1">
      <alignment horizontal="center"/>
    </xf>
    <xf numFmtId="164" fontId="1" fillId="14" borderId="13" xfId="0" applyNumberFormat="1" applyFont="1" applyFill="1" applyBorder="1" applyAlignment="1">
      <alignment horizontal="center"/>
    </xf>
    <xf numFmtId="165" fontId="1" fillId="14" borderId="12" xfId="0" applyNumberFormat="1" applyFont="1" applyFill="1" applyBorder="1" applyAlignment="1">
      <alignment horizontal="center" vertical="center"/>
    </xf>
    <xf numFmtId="0" fontId="18"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center" vertical="center"/>
    </xf>
    <xf numFmtId="10" fontId="0" fillId="0" borderId="0" xfId="0" applyNumberFormat="1" applyAlignment="1">
      <alignment horizontal="center" vertical="center"/>
    </xf>
    <xf numFmtId="10" fontId="3" fillId="0" borderId="0" xfId="0" applyNumberFormat="1" applyFont="1" applyAlignment="1">
      <alignment horizontal="center" vertical="center"/>
    </xf>
    <xf numFmtId="10" fontId="1" fillId="2" borderId="0" xfId="0" applyNumberFormat="1" applyFont="1" applyFill="1" applyAlignment="1">
      <alignment horizontal="center" vertical="center" wrapText="1"/>
    </xf>
    <xf numFmtId="164" fontId="1"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3"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164" fontId="1" fillId="2" borderId="19" xfId="0" applyNumberFormat="1" applyFont="1" applyFill="1" applyBorder="1" applyAlignment="1">
      <alignment horizontal="center" vertical="center" wrapText="1"/>
    </xf>
    <xf numFmtId="10" fontId="2" fillId="2" borderId="21" xfId="0" applyNumberFormat="1" applyFont="1" applyFill="1" applyBorder="1" applyAlignment="1">
      <alignment horizontal="center" vertical="center" wrapText="1"/>
    </xf>
    <xf numFmtId="164" fontId="0" fillId="0" borderId="20" xfId="0" applyNumberFormat="1" applyBorder="1" applyAlignment="1">
      <alignment horizontal="center" vertical="center"/>
    </xf>
    <xf numFmtId="164" fontId="0" fillId="0" borderId="22" xfId="0" applyNumberFormat="1" applyBorder="1" applyAlignment="1">
      <alignment horizontal="center" vertical="center"/>
    </xf>
    <xf numFmtId="0" fontId="1" fillId="3" borderId="19" xfId="0" applyFont="1" applyFill="1" applyBorder="1" applyAlignment="1">
      <alignment horizontal="center" vertical="center"/>
    </xf>
    <xf numFmtId="10" fontId="2" fillId="3" borderId="21" xfId="0" applyNumberFormat="1" applyFont="1" applyFill="1" applyBorder="1" applyAlignment="1">
      <alignment horizontal="center" vertical="center" wrapText="1"/>
    </xf>
    <xf numFmtId="2" fontId="1" fillId="8" borderId="19" xfId="0" applyNumberFormat="1" applyFont="1" applyFill="1" applyBorder="1" applyAlignment="1">
      <alignment horizontal="center" vertical="center"/>
    </xf>
    <xf numFmtId="10" fontId="2" fillId="8" borderId="21" xfId="0" applyNumberFormat="1" applyFont="1" applyFill="1" applyBorder="1" applyAlignment="1">
      <alignment horizontal="center" vertical="center" wrapText="1"/>
    </xf>
    <xf numFmtId="2" fontId="0" fillId="0" borderId="22" xfId="0" applyNumberFormat="1" applyBorder="1" applyAlignment="1">
      <alignment horizontal="center" vertical="center"/>
    </xf>
    <xf numFmtId="0" fontId="1" fillId="5" borderId="19" xfId="0" applyFont="1" applyFill="1" applyBorder="1" applyAlignment="1">
      <alignment horizontal="center" vertical="center"/>
    </xf>
    <xf numFmtId="10" fontId="2" fillId="5" borderId="21" xfId="0" applyNumberFormat="1" applyFont="1" applyFill="1" applyBorder="1" applyAlignment="1">
      <alignment horizontal="center" vertical="center" wrapText="1"/>
    </xf>
    <xf numFmtId="0" fontId="1" fillId="6" borderId="19" xfId="0" applyFont="1" applyFill="1" applyBorder="1" applyAlignment="1">
      <alignment horizontal="center" vertical="center"/>
    </xf>
    <xf numFmtId="10" fontId="2" fillId="6" borderId="21" xfId="0" applyNumberFormat="1" applyFont="1" applyFill="1" applyBorder="1" applyAlignment="1">
      <alignment horizontal="center" vertical="center" wrapText="1"/>
    </xf>
    <xf numFmtId="0" fontId="0" fillId="0" borderId="22" xfId="0" applyBorder="1" applyAlignment="1">
      <alignment horizontal="center" vertical="center"/>
    </xf>
    <xf numFmtId="0" fontId="1" fillId="7" borderId="21" xfId="0" applyFont="1" applyFill="1" applyBorder="1" applyAlignment="1">
      <alignment horizontal="center" vertical="center"/>
    </xf>
    <xf numFmtId="10" fontId="2" fillId="7" borderId="21" xfId="0" applyNumberFormat="1" applyFont="1" applyFill="1" applyBorder="1" applyAlignment="1">
      <alignment horizontal="center" vertical="center" wrapText="1"/>
    </xf>
    <xf numFmtId="0" fontId="1" fillId="0" borderId="58" xfId="0" applyFont="1" applyBorder="1" applyAlignment="1">
      <alignment horizontal="center" vertical="center" wrapText="1"/>
    </xf>
    <xf numFmtId="0" fontId="1" fillId="0" borderId="30" xfId="0" applyFont="1" applyBorder="1" applyAlignment="1">
      <alignment horizontal="center" vertical="center"/>
    </xf>
    <xf numFmtId="0" fontId="1" fillId="0" borderId="46" xfId="0" applyFont="1" applyBorder="1" applyAlignment="1">
      <alignment horizontal="center" vertical="center"/>
    </xf>
    <xf numFmtId="0" fontId="1" fillId="0" borderId="33" xfId="0" applyFont="1" applyBorder="1" applyAlignment="1">
      <alignment horizontal="center" vertical="center" wrapText="1"/>
    </xf>
    <xf numFmtId="164" fontId="1" fillId="2" borderId="37" xfId="0" applyNumberFormat="1" applyFont="1" applyFill="1" applyBorder="1" applyAlignment="1">
      <alignment horizontal="center" vertical="center" wrapText="1"/>
    </xf>
    <xf numFmtId="10" fontId="2" fillId="2" borderId="37" xfId="0" applyNumberFormat="1" applyFont="1" applyFill="1" applyBorder="1" applyAlignment="1">
      <alignment horizontal="center" vertical="center" wrapText="1"/>
    </xf>
    <xf numFmtId="164" fontId="0" fillId="0" borderId="37" xfId="0" applyNumberFormat="1" applyBorder="1" applyAlignment="1">
      <alignment horizontal="center" vertical="center"/>
    </xf>
    <xf numFmtId="0" fontId="1" fillId="3" borderId="37" xfId="0" applyFont="1" applyFill="1" applyBorder="1" applyAlignment="1">
      <alignment horizontal="center" vertical="center"/>
    </xf>
    <xf numFmtId="10" fontId="2" fillId="3" borderId="45" xfId="0" applyNumberFormat="1" applyFont="1" applyFill="1" applyBorder="1" applyAlignment="1">
      <alignment horizontal="center" vertical="center" wrapText="1"/>
    </xf>
    <xf numFmtId="2" fontId="1" fillId="8" borderId="37" xfId="0" applyNumberFormat="1" applyFont="1" applyFill="1" applyBorder="1" applyAlignment="1">
      <alignment horizontal="center" vertical="center"/>
    </xf>
    <xf numFmtId="10" fontId="2" fillId="8" borderId="37" xfId="0" applyNumberFormat="1" applyFont="1" applyFill="1" applyBorder="1" applyAlignment="1">
      <alignment horizontal="center" vertical="center" wrapText="1"/>
    </xf>
    <xf numFmtId="2" fontId="0" fillId="0" borderId="45" xfId="0" applyNumberFormat="1" applyBorder="1" applyAlignment="1">
      <alignment horizontal="center" vertical="center"/>
    </xf>
    <xf numFmtId="0" fontId="1" fillId="5" borderId="37" xfId="0" applyFont="1" applyFill="1" applyBorder="1" applyAlignment="1">
      <alignment horizontal="center" vertical="center"/>
    </xf>
    <xf numFmtId="10" fontId="2" fillId="5" borderId="45" xfId="0" applyNumberFormat="1" applyFont="1" applyFill="1" applyBorder="1" applyAlignment="1">
      <alignment horizontal="center" vertical="center" wrapText="1"/>
    </xf>
    <xf numFmtId="0" fontId="1" fillId="6" borderId="37" xfId="0" applyFont="1" applyFill="1" applyBorder="1" applyAlignment="1">
      <alignment horizontal="center" vertical="center"/>
    </xf>
    <xf numFmtId="10" fontId="2" fillId="6" borderId="37" xfId="0" applyNumberFormat="1" applyFont="1" applyFill="1" applyBorder="1" applyAlignment="1">
      <alignment horizontal="center" vertical="center" wrapText="1"/>
    </xf>
    <xf numFmtId="0" fontId="0" fillId="0" borderId="45" xfId="0" applyBorder="1" applyAlignment="1">
      <alignment horizontal="center" vertical="center"/>
    </xf>
    <xf numFmtId="0" fontId="1" fillId="7" borderId="37" xfId="0" applyFont="1" applyFill="1" applyBorder="1" applyAlignment="1">
      <alignment horizontal="center" vertical="center"/>
    </xf>
    <xf numFmtId="10" fontId="2" fillId="7" borderId="37" xfId="0" applyNumberFormat="1" applyFont="1" applyFill="1" applyBorder="1" applyAlignment="1">
      <alignment horizontal="center" vertical="center" wrapText="1"/>
    </xf>
    <xf numFmtId="164" fontId="0" fillId="0" borderId="6" xfId="0" applyNumberFormat="1" applyBorder="1" applyAlignment="1">
      <alignment horizontal="center" vertical="center"/>
    </xf>
    <xf numFmtId="0" fontId="1" fillId="3" borderId="6" xfId="0" applyFont="1" applyFill="1" applyBorder="1" applyAlignment="1">
      <alignment horizontal="center" vertical="center"/>
    </xf>
    <xf numFmtId="10" fontId="2" fillId="3" borderId="16" xfId="0" applyNumberFormat="1" applyFont="1" applyFill="1" applyBorder="1" applyAlignment="1">
      <alignment horizontal="center" vertical="center" wrapText="1"/>
    </xf>
    <xf numFmtId="2" fontId="1" fillId="8" borderId="6" xfId="0" applyNumberFormat="1" applyFont="1" applyFill="1" applyBorder="1" applyAlignment="1">
      <alignment horizontal="center" vertical="center"/>
    </xf>
    <xf numFmtId="2" fontId="0" fillId="0" borderId="16" xfId="0" applyNumberFormat="1" applyBorder="1" applyAlignment="1">
      <alignment horizontal="center" vertical="center"/>
    </xf>
    <xf numFmtId="0" fontId="1" fillId="5" borderId="6" xfId="0" applyFont="1" applyFill="1" applyBorder="1" applyAlignment="1">
      <alignment horizontal="center" vertical="center"/>
    </xf>
    <xf numFmtId="10" fontId="2" fillId="5" borderId="16" xfId="0" applyNumberFormat="1" applyFont="1" applyFill="1" applyBorder="1" applyAlignment="1">
      <alignment horizontal="center" vertical="center" wrapText="1"/>
    </xf>
    <xf numFmtId="0" fontId="1" fillId="6" borderId="6" xfId="0" applyFont="1" applyFill="1" applyBorder="1" applyAlignment="1">
      <alignment horizontal="center" vertical="center"/>
    </xf>
    <xf numFmtId="0" fontId="0" fillId="0" borderId="16" xfId="0" applyBorder="1" applyAlignment="1">
      <alignment horizontal="center" vertical="center"/>
    </xf>
    <xf numFmtId="164" fontId="0" fillId="0" borderId="72" xfId="0" applyNumberFormat="1" applyBorder="1" applyAlignment="1">
      <alignment horizontal="center" vertical="center"/>
    </xf>
    <xf numFmtId="164" fontId="0" fillId="0" borderId="9" xfId="0" applyNumberFormat="1" applyBorder="1" applyAlignment="1">
      <alignment horizontal="center" vertical="center"/>
    </xf>
    <xf numFmtId="164" fontId="0" fillId="0" borderId="43" xfId="0" applyNumberFormat="1" applyBorder="1" applyAlignment="1">
      <alignment horizontal="center" vertical="center"/>
    </xf>
    <xf numFmtId="0" fontId="1" fillId="3" borderId="33" xfId="0" applyFont="1" applyFill="1" applyBorder="1" applyAlignment="1">
      <alignment horizontal="center" vertical="center"/>
    </xf>
    <xf numFmtId="0" fontId="1" fillId="3" borderId="41" xfId="0" applyFont="1" applyFill="1" applyBorder="1" applyAlignment="1">
      <alignment horizontal="center" vertical="center"/>
    </xf>
    <xf numFmtId="10" fontId="2" fillId="3" borderId="67" xfId="0" applyNumberFormat="1" applyFont="1" applyFill="1" applyBorder="1" applyAlignment="1">
      <alignment horizontal="center" vertical="center" wrapText="1"/>
    </xf>
    <xf numFmtId="2" fontId="1" fillId="8" borderId="40" xfId="0" applyNumberFormat="1" applyFont="1" applyFill="1" applyBorder="1" applyAlignment="1">
      <alignment horizontal="center" vertical="center"/>
    </xf>
    <xf numFmtId="10" fontId="2" fillId="8" borderId="40" xfId="0" applyNumberFormat="1" applyFont="1" applyFill="1" applyBorder="1" applyAlignment="1">
      <alignment horizontal="center" vertical="center" wrapText="1"/>
    </xf>
    <xf numFmtId="0" fontId="1" fillId="5" borderId="40" xfId="0" applyFont="1" applyFill="1" applyBorder="1" applyAlignment="1">
      <alignment horizontal="center" vertical="center"/>
    </xf>
    <xf numFmtId="10" fontId="2" fillId="5" borderId="67" xfId="0" applyNumberFormat="1" applyFont="1" applyFill="1" applyBorder="1" applyAlignment="1">
      <alignment horizontal="center" vertical="center" wrapText="1"/>
    </xf>
    <xf numFmtId="0" fontId="1" fillId="6" borderId="40" xfId="0" applyFont="1" applyFill="1" applyBorder="1" applyAlignment="1">
      <alignment horizontal="center" vertical="center"/>
    </xf>
    <xf numFmtId="10" fontId="2" fillId="6" borderId="40" xfId="0" applyNumberFormat="1" applyFont="1" applyFill="1" applyBorder="1" applyAlignment="1">
      <alignment horizontal="center" vertical="center" wrapText="1"/>
    </xf>
    <xf numFmtId="0" fontId="0" fillId="0" borderId="67" xfId="0" applyBorder="1" applyAlignment="1">
      <alignment horizontal="center" vertical="center"/>
    </xf>
    <xf numFmtId="0" fontId="1" fillId="7" borderId="40" xfId="0" applyFont="1" applyFill="1" applyBorder="1" applyAlignment="1">
      <alignment horizontal="center" vertical="center"/>
    </xf>
    <xf numFmtId="10" fontId="2" fillId="7" borderId="40" xfId="0" applyNumberFormat="1" applyFont="1" applyFill="1" applyBorder="1" applyAlignment="1">
      <alignment horizontal="center" vertical="center" wrapText="1"/>
    </xf>
    <xf numFmtId="2" fontId="1" fillId="0" borderId="44" xfId="0" applyNumberFormat="1" applyFont="1" applyBorder="1" applyAlignment="1">
      <alignment horizontal="center" vertical="center"/>
    </xf>
    <xf numFmtId="2" fontId="1" fillId="0" borderId="18" xfId="0" applyNumberFormat="1" applyFont="1" applyBorder="1" applyAlignment="1">
      <alignment horizontal="center" vertical="center"/>
    </xf>
    <xf numFmtId="0" fontId="1" fillId="0" borderId="10" xfId="0" applyFont="1" applyBorder="1" applyAlignment="1">
      <alignment horizontal="center" vertical="center"/>
    </xf>
    <xf numFmtId="10" fontId="2" fillId="16" borderId="6" xfId="0" applyNumberFormat="1" applyFont="1" applyFill="1" applyBorder="1" applyAlignment="1">
      <alignment horizontal="center" vertical="center" wrapText="1"/>
    </xf>
    <xf numFmtId="166" fontId="0" fillId="16" borderId="2" xfId="0" applyNumberFormat="1" applyFill="1" applyBorder="1" applyAlignment="1">
      <alignment horizontal="center" vertical="center"/>
    </xf>
    <xf numFmtId="2" fontId="0" fillId="16" borderId="2" xfId="0" applyNumberFormat="1" applyFill="1" applyBorder="1" applyAlignment="1">
      <alignment horizontal="center" vertical="center"/>
    </xf>
    <xf numFmtId="164" fontId="0" fillId="16" borderId="2" xfId="0" applyNumberFormat="1" applyFill="1" applyBorder="1" applyAlignment="1">
      <alignment horizontal="center" vertical="center"/>
    </xf>
    <xf numFmtId="2" fontId="0" fillId="16" borderId="6" xfId="0" applyNumberFormat="1" applyFill="1" applyBorder="1" applyAlignment="1">
      <alignment horizontal="center" vertical="center"/>
    </xf>
    <xf numFmtId="2" fontId="0" fillId="16" borderId="22" xfId="0" applyNumberFormat="1" applyFill="1" applyBorder="1" applyAlignment="1">
      <alignment horizontal="center" vertical="center"/>
    </xf>
    <xf numFmtId="2" fontId="0" fillId="16" borderId="67" xfId="0" applyNumberFormat="1" applyFill="1" applyBorder="1" applyAlignment="1">
      <alignment horizontal="center" vertical="center"/>
    </xf>
    <xf numFmtId="2" fontId="0" fillId="16" borderId="45" xfId="0" applyNumberFormat="1" applyFill="1" applyBorder="1" applyAlignment="1">
      <alignment horizontal="center" vertical="center"/>
    </xf>
    <xf numFmtId="0" fontId="1" fillId="0" borderId="6" xfId="0" applyFont="1" applyBorder="1" applyAlignment="1">
      <alignment horizontal="center" vertical="center"/>
    </xf>
    <xf numFmtId="0" fontId="1" fillId="0" borderId="37" xfId="0" applyFont="1" applyBorder="1" applyAlignment="1">
      <alignment horizontal="center" vertical="center"/>
    </xf>
    <xf numFmtId="0" fontId="1" fillId="0" borderId="23" xfId="0" applyFont="1" applyBorder="1" applyAlignment="1">
      <alignment horizontal="center" vertical="center" wrapText="1"/>
    </xf>
    <xf numFmtId="0" fontId="1" fillId="8" borderId="44" xfId="0" applyFont="1" applyFill="1" applyBorder="1" applyAlignment="1">
      <alignment horizontal="center" vertical="center"/>
    </xf>
    <xf numFmtId="0" fontId="1" fillId="0" borderId="3" xfId="0" applyFont="1" applyBorder="1" applyAlignment="1">
      <alignment horizontal="center" vertical="center"/>
    </xf>
    <xf numFmtId="0" fontId="1" fillId="9" borderId="39" xfId="0" applyFont="1" applyFill="1" applyBorder="1" applyAlignment="1">
      <alignment horizontal="center" vertical="center"/>
    </xf>
    <xf numFmtId="0" fontId="1" fillId="9" borderId="7" xfId="0" applyFont="1" applyFill="1" applyBorder="1" applyAlignment="1">
      <alignment horizontal="center" vertical="center"/>
    </xf>
    <xf numFmtId="2" fontId="1" fillId="9" borderId="7"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9" borderId="41" xfId="0" applyFont="1" applyFill="1" applyBorder="1" applyAlignment="1">
      <alignment horizontal="center" vertical="center"/>
    </xf>
    <xf numFmtId="1" fontId="1" fillId="12" borderId="12" xfId="0" applyNumberFormat="1" applyFont="1" applyFill="1" applyBorder="1" applyAlignment="1">
      <alignment horizontal="center" vertical="center"/>
    </xf>
    <xf numFmtId="1" fontId="3" fillId="0" borderId="0" xfId="0" applyNumberFormat="1" applyFont="1" applyAlignment="1">
      <alignment horizontal="center"/>
    </xf>
    <xf numFmtId="1" fontId="1" fillId="0" borderId="12" xfId="0" applyNumberFormat="1" applyFont="1" applyBorder="1" applyAlignment="1">
      <alignment horizontal="center" vertical="center"/>
    </xf>
    <xf numFmtId="1" fontId="1" fillId="12" borderId="12" xfId="0" applyNumberFormat="1" applyFont="1" applyFill="1" applyBorder="1" applyAlignment="1">
      <alignment horizontal="center"/>
    </xf>
    <xf numFmtId="10" fontId="2" fillId="3" borderId="2" xfId="0"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72" xfId="0" applyFont="1" applyBorder="1" applyAlignment="1">
      <alignment horizontal="center" vertical="center"/>
    </xf>
    <xf numFmtId="164" fontId="3" fillId="0" borderId="6" xfId="0" applyNumberFormat="1" applyFont="1" applyBorder="1" applyAlignment="1">
      <alignment horizontal="center" vertical="center"/>
    </xf>
    <xf numFmtId="0" fontId="0" fillId="0" borderId="49" xfId="0" applyBorder="1" applyAlignment="1">
      <alignment horizontal="center" vertical="center"/>
    </xf>
    <xf numFmtId="0" fontId="3" fillId="9" borderId="28" xfId="0" applyFont="1" applyFill="1" applyBorder="1" applyAlignment="1">
      <alignment horizontal="center" vertical="center"/>
    </xf>
    <xf numFmtId="164" fontId="9" fillId="9" borderId="28" xfId="0" applyNumberFormat="1" applyFont="1" applyFill="1" applyBorder="1" applyAlignment="1">
      <alignment horizontal="left" vertical="center" wrapText="1"/>
    </xf>
    <xf numFmtId="0" fontId="9" fillId="9" borderId="28" xfId="0" applyFont="1" applyFill="1" applyBorder="1" applyAlignment="1">
      <alignment horizontal="left" vertical="center" wrapText="1"/>
    </xf>
    <xf numFmtId="2" fontId="0" fillId="3" borderId="1" xfId="0" applyNumberFormat="1" applyFill="1" applyBorder="1" applyAlignment="1">
      <alignment horizontal="center" vertical="center"/>
    </xf>
    <xf numFmtId="2" fontId="0" fillId="3" borderId="4" xfId="0" applyNumberFormat="1" applyFill="1" applyBorder="1" applyAlignment="1">
      <alignment horizontal="center" vertical="center"/>
    </xf>
    <xf numFmtId="2" fontId="0" fillId="3" borderId="20" xfId="0" applyNumberFormat="1" applyFill="1" applyBorder="1" applyAlignment="1">
      <alignment horizontal="center" vertical="center"/>
    </xf>
    <xf numFmtId="2" fontId="0" fillId="3" borderId="38" xfId="0" applyNumberFormat="1" applyFill="1" applyBorder="1" applyAlignment="1">
      <alignment horizontal="center" vertical="center"/>
    </xf>
    <xf numFmtId="2" fontId="21" fillId="3" borderId="1" xfId="0" applyNumberFormat="1" applyFont="1" applyFill="1" applyBorder="1" applyAlignment="1">
      <alignment horizontal="center" vertical="center"/>
    </xf>
    <xf numFmtId="2" fontId="0" fillId="3" borderId="53" xfId="0" applyNumberFormat="1" applyFill="1" applyBorder="1" applyAlignment="1">
      <alignment horizontal="center" vertical="center"/>
    </xf>
    <xf numFmtId="2" fontId="0" fillId="3" borderId="54" xfId="0" applyNumberFormat="1" applyFill="1" applyBorder="1" applyAlignment="1">
      <alignment horizontal="center" vertical="center"/>
    </xf>
    <xf numFmtId="2" fontId="0" fillId="3" borderId="2" xfId="0" applyNumberFormat="1" applyFill="1" applyBorder="1" applyAlignment="1">
      <alignment horizontal="center" vertical="center"/>
    </xf>
    <xf numFmtId="2" fontId="0" fillId="3" borderId="22" xfId="0" applyNumberFormat="1" applyFill="1" applyBorder="1" applyAlignment="1">
      <alignment horizontal="center" vertical="center"/>
    </xf>
    <xf numFmtId="2" fontId="0" fillId="3" borderId="39" xfId="0" applyNumberFormat="1" applyFill="1" applyBorder="1" applyAlignment="1">
      <alignment horizontal="center" vertical="center"/>
    </xf>
    <xf numFmtId="2" fontId="0" fillId="3" borderId="3" xfId="0" applyNumberFormat="1" applyFill="1" applyBorder="1" applyAlignment="1">
      <alignment horizontal="center" vertical="center"/>
    </xf>
    <xf numFmtId="164" fontId="3" fillId="6" borderId="41"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xf>
    <xf numFmtId="164" fontId="3" fillId="6" borderId="8" xfId="0" applyNumberFormat="1" applyFont="1" applyFill="1" applyBorder="1" applyAlignment="1">
      <alignment horizontal="center" vertical="center"/>
    </xf>
    <xf numFmtId="165" fontId="3" fillId="9" borderId="22" xfId="0" applyNumberFormat="1" applyFont="1" applyFill="1" applyBorder="1" applyAlignment="1">
      <alignment horizontal="center" vertical="center"/>
    </xf>
    <xf numFmtId="164" fontId="3" fillId="6" borderId="39" xfId="0" applyNumberFormat="1" applyFont="1" applyFill="1" applyBorder="1" applyAlignment="1">
      <alignment horizontal="center" vertical="center"/>
    </xf>
    <xf numFmtId="2" fontId="0" fillId="3" borderId="6" xfId="0" applyNumberFormat="1" applyFill="1" applyBorder="1" applyAlignment="1">
      <alignment horizontal="center" vertical="center"/>
    </xf>
    <xf numFmtId="2" fontId="0" fillId="3" borderId="21" xfId="0" applyNumberFormat="1" applyFill="1" applyBorder="1" applyAlignment="1">
      <alignment horizontal="center" vertical="center"/>
    </xf>
    <xf numFmtId="2" fontId="0" fillId="3" borderId="40" xfId="0" applyNumberFormat="1" applyFill="1" applyBorder="1" applyAlignment="1">
      <alignment horizontal="center" vertical="center"/>
    </xf>
    <xf numFmtId="2" fontId="0" fillId="3" borderId="41" xfId="0" applyNumberFormat="1" applyFill="1" applyBorder="1" applyAlignment="1">
      <alignment horizontal="center" vertical="center"/>
    </xf>
    <xf numFmtId="2" fontId="0" fillId="3" borderId="5" xfId="0" applyNumberFormat="1" applyFill="1" applyBorder="1" applyAlignment="1">
      <alignment horizontal="center" vertical="center"/>
    </xf>
    <xf numFmtId="2" fontId="0" fillId="3" borderId="8" xfId="0" applyNumberFormat="1" applyFill="1" applyBorder="1" applyAlignment="1">
      <alignment horizontal="center" vertical="center"/>
    </xf>
    <xf numFmtId="2" fontId="3" fillId="3" borderId="4"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xf>
    <xf numFmtId="2" fontId="3" fillId="6" borderId="38" xfId="0" applyNumberFormat="1" applyFont="1" applyFill="1" applyBorder="1" applyAlignment="1">
      <alignment horizontal="center" vertical="center"/>
    </xf>
    <xf numFmtId="2" fontId="3" fillId="6" borderId="2" xfId="0" applyNumberFormat="1" applyFont="1" applyFill="1" applyBorder="1" applyAlignment="1">
      <alignment horizontal="center" vertical="center"/>
    </xf>
    <xf numFmtId="2" fontId="3" fillId="6" borderId="3" xfId="0" applyNumberFormat="1" applyFont="1" applyFill="1" applyBorder="1" applyAlignment="1">
      <alignment horizontal="center" vertical="center"/>
    </xf>
    <xf numFmtId="2" fontId="3" fillId="6" borderId="39" xfId="0" applyNumberFormat="1" applyFont="1" applyFill="1" applyBorder="1" applyAlignment="1">
      <alignment horizontal="center" vertical="center"/>
    </xf>
    <xf numFmtId="2" fontId="3" fillId="6" borderId="41" xfId="0" applyNumberFormat="1" applyFont="1" applyFill="1" applyBorder="1" applyAlignment="1">
      <alignment horizontal="center" vertical="center"/>
    </xf>
    <xf numFmtId="2" fontId="3" fillId="6" borderId="5" xfId="0" applyNumberFormat="1" applyFont="1" applyFill="1" applyBorder="1" applyAlignment="1">
      <alignment horizontal="center" vertical="center"/>
    </xf>
    <xf numFmtId="2" fontId="3" fillId="6" borderId="8" xfId="0" applyNumberFormat="1" applyFont="1" applyFill="1" applyBorder="1" applyAlignment="1">
      <alignment horizontal="center" vertical="center"/>
    </xf>
    <xf numFmtId="164" fontId="3" fillId="7" borderId="25" xfId="0" applyNumberFormat="1" applyFont="1" applyFill="1" applyBorder="1" applyAlignment="1">
      <alignment horizontal="center" vertical="center"/>
    </xf>
    <xf numFmtId="164" fontId="3" fillId="7" borderId="61" xfId="0" applyNumberFormat="1" applyFont="1" applyFill="1" applyBorder="1" applyAlignment="1">
      <alignment horizontal="center" vertical="center"/>
    </xf>
    <xf numFmtId="164" fontId="3" fillId="10" borderId="5" xfId="0" applyNumberFormat="1" applyFont="1" applyFill="1" applyBorder="1" applyAlignment="1">
      <alignment horizontal="center" vertical="center"/>
    </xf>
    <xf numFmtId="164" fontId="9" fillId="10" borderId="6"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2" xfId="0" applyNumberFormat="1" applyFont="1" applyFill="1" applyBorder="1" applyAlignment="1">
      <alignment horizontal="center" vertical="center"/>
    </xf>
    <xf numFmtId="164" fontId="9" fillId="8" borderId="5" xfId="0" applyNumberFormat="1" applyFont="1" applyFill="1" applyBorder="1" applyAlignment="1">
      <alignment horizontal="center" vertical="center"/>
    </xf>
    <xf numFmtId="164" fontId="9" fillId="8" borderId="2" xfId="0" applyNumberFormat="1" applyFont="1" applyFill="1" applyBorder="1" applyAlignment="1">
      <alignment horizontal="center" vertical="center"/>
    </xf>
    <xf numFmtId="164" fontId="9" fillId="5" borderId="5" xfId="0" applyNumberFormat="1" applyFont="1" applyFill="1" applyBorder="1" applyAlignment="1">
      <alignment horizontal="center" vertical="center"/>
    </xf>
    <xf numFmtId="164" fontId="9" fillId="5" borderId="1"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164" fontId="9" fillId="6" borderId="5" xfId="0" applyNumberFormat="1" applyFont="1" applyFill="1" applyBorder="1" applyAlignment="1">
      <alignment horizontal="center" vertical="center"/>
    </xf>
    <xf numFmtId="164" fontId="9" fillId="7" borderId="5"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xf>
    <xf numFmtId="164" fontId="9" fillId="7" borderId="2" xfId="0" applyNumberFormat="1" applyFont="1" applyFill="1" applyBorder="1" applyAlignment="1">
      <alignment horizontal="center" vertical="center"/>
    </xf>
    <xf numFmtId="164" fontId="1" fillId="16" borderId="12" xfId="0" applyNumberFormat="1" applyFont="1" applyFill="1" applyBorder="1" applyAlignment="1">
      <alignment horizontal="center" vertical="center"/>
    </xf>
    <xf numFmtId="165" fontId="1" fillId="16" borderId="12" xfId="0" applyNumberFormat="1" applyFont="1" applyFill="1" applyBorder="1" applyAlignment="1">
      <alignment horizontal="center" vertical="center"/>
    </xf>
    <xf numFmtId="164" fontId="22" fillId="0" borderId="0" xfId="0" applyNumberFormat="1" applyFont="1" applyAlignment="1">
      <alignment horizontal="center" vertical="center" wrapText="1"/>
    </xf>
    <xf numFmtId="0" fontId="16" fillId="0" borderId="0" xfId="0" applyFont="1" applyAlignment="1">
      <alignment horizontal="center" vertical="center" wrapText="1"/>
    </xf>
    <xf numFmtId="10" fontId="24" fillId="3" borderId="6"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9" fillId="0" borderId="4" xfId="0" applyNumberFormat="1" applyFont="1" applyBorder="1" applyAlignment="1">
      <alignment horizontal="center" vertical="center"/>
    </xf>
    <xf numFmtId="0" fontId="9" fillId="0" borderId="49" xfId="0" applyFont="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1" fontId="2" fillId="2" borderId="6" xfId="0" applyNumberFormat="1" applyFont="1" applyFill="1" applyBorder="1" applyAlignment="1">
      <alignment horizontal="center" vertical="center" wrapText="1"/>
    </xf>
    <xf numFmtId="0" fontId="5" fillId="9" borderId="7" xfId="0" applyFont="1" applyFill="1" applyBorder="1" applyAlignment="1">
      <alignment horizontal="center" vertical="center"/>
    </xf>
    <xf numFmtId="0" fontId="5" fillId="9" borderId="41" xfId="0" applyFont="1" applyFill="1" applyBorder="1" applyAlignment="1">
      <alignment horizontal="center" vertical="center"/>
    </xf>
    <xf numFmtId="2" fontId="9" fillId="8" borderId="5" xfId="0" applyNumberFormat="1" applyFont="1" applyFill="1" applyBorder="1" applyAlignment="1">
      <alignment horizontal="center" vertical="center"/>
    </xf>
    <xf numFmtId="2" fontId="9" fillId="8" borderId="19" xfId="0" applyNumberFormat="1"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9" fillId="6" borderId="19" xfId="0" applyFont="1" applyFill="1" applyBorder="1" applyAlignment="1">
      <alignment horizontal="center" vertical="center"/>
    </xf>
    <xf numFmtId="164" fontId="9" fillId="6" borderId="20" xfId="0" applyNumberFormat="1" applyFont="1" applyFill="1" applyBorder="1" applyAlignment="1">
      <alignment horizontal="center" vertical="center"/>
    </xf>
    <xf numFmtId="2" fontId="9" fillId="3" borderId="6" xfId="0" applyNumberFormat="1" applyFont="1" applyFill="1" applyBorder="1" applyAlignment="1">
      <alignment horizontal="center" vertical="center"/>
    </xf>
    <xf numFmtId="2" fontId="9" fillId="3" borderId="21"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2" fontId="9" fillId="3" borderId="4" xfId="0" applyNumberFormat="1" applyFont="1" applyFill="1" applyBorder="1" applyAlignment="1">
      <alignment horizontal="center" vertical="center"/>
    </xf>
    <xf numFmtId="2" fontId="9" fillId="3" borderId="20" xfId="0" applyNumberFormat="1" applyFont="1" applyFill="1" applyBorder="1" applyAlignment="1">
      <alignment horizontal="center" vertical="center"/>
    </xf>
    <xf numFmtId="2" fontId="9" fillId="3" borderId="38" xfId="0" applyNumberFormat="1" applyFont="1" applyFill="1" applyBorder="1" applyAlignment="1">
      <alignment horizontal="center" vertical="center"/>
    </xf>
    <xf numFmtId="164" fontId="9" fillId="6" borderId="8" xfId="0" applyNumberFormat="1" applyFont="1" applyFill="1" applyBorder="1" applyAlignment="1">
      <alignment horizontal="center" vertical="center"/>
    </xf>
    <xf numFmtId="2" fontId="9" fillId="6" borderId="1" xfId="0" applyNumberFormat="1" applyFont="1" applyFill="1" applyBorder="1" applyAlignment="1">
      <alignment horizontal="center" vertical="center"/>
    </xf>
    <xf numFmtId="2" fontId="9" fillId="6" borderId="4" xfId="0" applyNumberFormat="1" applyFont="1" applyFill="1" applyBorder="1" applyAlignment="1">
      <alignment horizontal="center" vertical="center"/>
    </xf>
    <xf numFmtId="164" fontId="9" fillId="6" borderId="39" xfId="0" applyNumberFormat="1" applyFont="1" applyFill="1" applyBorder="1" applyAlignment="1">
      <alignment horizontal="center" vertical="center"/>
    </xf>
    <xf numFmtId="2" fontId="9" fillId="6" borderId="2" xfId="0" applyNumberFormat="1" applyFont="1" applyFill="1" applyBorder="1" applyAlignment="1">
      <alignment horizontal="center" vertical="center"/>
    </xf>
    <xf numFmtId="0" fontId="1" fillId="10" borderId="7" xfId="0" applyFont="1" applyFill="1" applyBorder="1" applyAlignment="1">
      <alignment horizontal="center" vertical="center"/>
    </xf>
    <xf numFmtId="0" fontId="1" fillId="10" borderId="12" xfId="0" applyFont="1" applyFill="1" applyBorder="1" applyAlignment="1">
      <alignment horizontal="center" vertical="center"/>
    </xf>
    <xf numFmtId="0" fontId="1" fillId="10" borderId="15" xfId="0" applyFont="1" applyFill="1" applyBorder="1" applyAlignment="1">
      <alignment horizontal="center" vertical="center"/>
    </xf>
    <xf numFmtId="0" fontId="1" fillId="10" borderId="13" xfId="0" applyFont="1" applyFill="1" applyBorder="1" applyAlignment="1">
      <alignment horizontal="center" vertical="center"/>
    </xf>
    <xf numFmtId="0" fontId="1" fillId="10" borderId="77" xfId="0" applyFont="1" applyFill="1" applyBorder="1" applyAlignment="1">
      <alignment horizontal="center" vertical="center"/>
    </xf>
    <xf numFmtId="0" fontId="1" fillId="6" borderId="0" xfId="0" applyFont="1" applyFill="1" applyAlignment="1">
      <alignment horizontal="center" vertical="center"/>
    </xf>
    <xf numFmtId="0" fontId="0" fillId="0" borderId="0" xfId="0" applyAlignment="1">
      <alignment horizontal="center"/>
    </xf>
    <xf numFmtId="0" fontId="3" fillId="0" borderId="10" xfId="0" applyFont="1" applyBorder="1" applyAlignment="1">
      <alignment vertical="center" wrapText="1"/>
    </xf>
    <xf numFmtId="165" fontId="1" fillId="15" borderId="0" xfId="0" applyNumberFormat="1" applyFont="1" applyFill="1" applyAlignment="1">
      <alignment horizontal="center" vertical="center"/>
    </xf>
    <xf numFmtId="164" fontId="1" fillId="12" borderId="0" xfId="0" applyNumberFormat="1" applyFont="1" applyFill="1" applyAlignment="1">
      <alignment horizontal="center" vertical="center"/>
    </xf>
    <xf numFmtId="0" fontId="9" fillId="0" borderId="43"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68" xfId="0" applyFont="1" applyBorder="1" applyAlignment="1">
      <alignment horizontal="center" vertical="center"/>
    </xf>
    <xf numFmtId="0" fontId="1" fillId="7" borderId="5" xfId="0" applyFont="1" applyFill="1" applyBorder="1" applyAlignment="1">
      <alignment horizontal="center" vertical="center"/>
    </xf>
    <xf numFmtId="0" fontId="1" fillId="7" borderId="5" xfId="0" applyFont="1" applyFill="1" applyBorder="1" applyAlignment="1">
      <alignment vertical="center"/>
    </xf>
    <xf numFmtId="0" fontId="1" fillId="7" borderId="8" xfId="0" applyFont="1" applyFill="1" applyBorder="1" applyAlignment="1">
      <alignment horizontal="center" vertical="center"/>
    </xf>
    <xf numFmtId="10" fontId="1" fillId="7" borderId="2" xfId="0" applyNumberFormat="1" applyFont="1" applyFill="1" applyBorder="1" applyAlignment="1">
      <alignment horizontal="center" vertical="center"/>
    </xf>
    <xf numFmtId="0" fontId="1" fillId="0" borderId="24" xfId="0" applyFont="1" applyBorder="1" applyAlignment="1">
      <alignment horizontal="center" vertical="center"/>
    </xf>
    <xf numFmtId="0" fontId="5" fillId="0" borderId="24" xfId="0" applyFont="1" applyBorder="1" applyAlignment="1">
      <alignment vertical="center"/>
    </xf>
    <xf numFmtId="0" fontId="11" fillId="0" borderId="24" xfId="0" applyFont="1" applyBorder="1" applyAlignment="1">
      <alignment horizontal="center" vertical="center" wrapText="1"/>
    </xf>
    <xf numFmtId="0" fontId="1" fillId="0" borderId="24" xfId="0" applyFont="1" applyBorder="1" applyAlignment="1">
      <alignment vertical="center"/>
    </xf>
    <xf numFmtId="10" fontId="1" fillId="0" borderId="0" xfId="0" applyNumberFormat="1" applyFont="1" applyAlignment="1">
      <alignment horizontal="center" vertical="center"/>
    </xf>
    <xf numFmtId="10" fontId="4" fillId="0" borderId="2" xfId="0" applyNumberFormat="1" applyFont="1" applyBorder="1" applyAlignment="1">
      <alignment horizontal="center" vertical="center" wrapText="1"/>
    </xf>
    <xf numFmtId="10" fontId="1" fillId="0" borderId="0" xfId="0" applyNumberFormat="1" applyFont="1" applyAlignment="1">
      <alignment vertical="center"/>
    </xf>
    <xf numFmtId="10" fontId="0" fillId="0" borderId="0" xfId="0" applyNumberFormat="1" applyAlignment="1">
      <alignment vertical="center"/>
    </xf>
    <xf numFmtId="10" fontId="11" fillId="0" borderId="9" xfId="0" applyNumberFormat="1" applyFont="1" applyBorder="1" applyAlignment="1">
      <alignment horizontal="center" vertical="center" wrapText="1"/>
    </xf>
    <xf numFmtId="10" fontId="1" fillId="7" borderId="9" xfId="0" applyNumberFormat="1" applyFont="1" applyFill="1" applyBorder="1" applyAlignment="1">
      <alignment horizontal="center" vertical="center"/>
    </xf>
    <xf numFmtId="10" fontId="1" fillId="7" borderId="9" xfId="0" applyNumberFormat="1" applyFont="1" applyFill="1" applyBorder="1" applyAlignment="1">
      <alignment vertical="center"/>
    </xf>
    <xf numFmtId="10" fontId="1" fillId="7" borderId="43" xfId="0" applyNumberFormat="1" applyFont="1" applyFill="1" applyBorder="1" applyAlignment="1">
      <alignment horizontal="center" vertical="center"/>
    </xf>
    <xf numFmtId="0" fontId="5" fillId="7" borderId="8" xfId="0" applyFont="1" applyFill="1" applyBorder="1" applyAlignment="1">
      <alignment horizontal="center" vertical="center"/>
    </xf>
    <xf numFmtId="10" fontId="11" fillId="0" borderId="2" xfId="0" applyNumberFormat="1" applyFont="1" applyBorder="1" applyAlignment="1">
      <alignment horizontal="center" vertical="center" wrapText="1"/>
    </xf>
    <xf numFmtId="10" fontId="5" fillId="7" borderId="2" xfId="0" applyNumberFormat="1" applyFont="1" applyFill="1" applyBorder="1" applyAlignment="1">
      <alignment horizontal="center" vertical="center"/>
    </xf>
    <xf numFmtId="0" fontId="11" fillId="0" borderId="2" xfId="0" applyFont="1" applyBorder="1" applyAlignment="1">
      <alignment horizontal="center" vertical="center" wrapText="1"/>
    </xf>
    <xf numFmtId="10" fontId="1" fillId="7" borderId="3"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5" xfId="0" applyFont="1" applyFill="1" applyBorder="1" applyAlignment="1">
      <alignment vertical="center"/>
    </xf>
    <xf numFmtId="0" fontId="1" fillId="14" borderId="5" xfId="0" applyFont="1" applyFill="1" applyBorder="1" applyAlignment="1">
      <alignment horizontal="center" vertical="center"/>
    </xf>
    <xf numFmtId="0" fontId="1" fillId="14" borderId="2" xfId="0" applyFont="1" applyFill="1" applyBorder="1" applyAlignment="1">
      <alignment horizontal="center" vertical="center"/>
    </xf>
    <xf numFmtId="0" fontId="1" fillId="7" borderId="41" xfId="0" applyFont="1" applyFill="1" applyBorder="1" applyAlignment="1">
      <alignment horizontal="center" vertical="center"/>
    </xf>
    <xf numFmtId="0" fontId="1" fillId="7" borderId="33" xfId="0" applyFont="1" applyFill="1" applyBorder="1" applyAlignment="1">
      <alignment horizontal="center" vertical="center"/>
    </xf>
    <xf numFmtId="0" fontId="1" fillId="14" borderId="41" xfId="0" applyFont="1" applyFill="1" applyBorder="1" applyAlignment="1">
      <alignment horizontal="center" vertical="center"/>
    </xf>
    <xf numFmtId="0" fontId="1" fillId="14" borderId="8" xfId="0" applyFont="1" applyFill="1" applyBorder="1" applyAlignment="1">
      <alignment horizontal="center" vertical="center"/>
    </xf>
    <xf numFmtId="0" fontId="1" fillId="14" borderId="39" xfId="0" applyFont="1" applyFill="1" applyBorder="1" applyAlignment="1">
      <alignment horizontal="center" vertical="center"/>
    </xf>
    <xf numFmtId="0" fontId="1" fillId="14" borderId="3" xfId="0" applyFont="1" applyFill="1" applyBorder="1" applyAlignment="1">
      <alignment horizontal="center" vertical="center"/>
    </xf>
    <xf numFmtId="0" fontId="16" fillId="0" borderId="7" xfId="0" applyFont="1" applyBorder="1" applyAlignment="1">
      <alignment vertical="center"/>
    </xf>
    <xf numFmtId="0" fontId="16" fillId="0" borderId="12" xfId="0" applyFont="1" applyBorder="1" applyAlignment="1">
      <alignment vertical="center"/>
    </xf>
    <xf numFmtId="164" fontId="9" fillId="9" borderId="1" xfId="0" applyNumberFormat="1" applyFont="1" applyFill="1" applyBorder="1" applyAlignment="1">
      <alignment horizontal="center" vertical="center"/>
    </xf>
    <xf numFmtId="0" fontId="3" fillId="0" borderId="0" xfId="0" applyFont="1" applyAlignment="1">
      <alignment vertical="center"/>
    </xf>
    <xf numFmtId="0" fontId="1" fillId="0" borderId="58" xfId="0" applyFont="1" applyBorder="1" applyAlignment="1">
      <alignment horizontal="right" vertical="center"/>
    </xf>
    <xf numFmtId="0" fontId="1" fillId="0" borderId="60" xfId="0" applyFont="1" applyBorder="1" applyAlignment="1">
      <alignment horizontal="right" vertical="center" wrapText="1"/>
    </xf>
    <xf numFmtId="0" fontId="1" fillId="3" borderId="58"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3" xfId="0" applyFont="1" applyFill="1" applyBorder="1" applyAlignment="1">
      <alignment horizontal="center" vertical="center"/>
    </xf>
    <xf numFmtId="164" fontId="1" fillId="3" borderId="40" xfId="0" applyNumberFormat="1" applyFont="1" applyFill="1" applyBorder="1" applyAlignment="1">
      <alignment horizontal="center" vertical="center"/>
    </xf>
    <xf numFmtId="164" fontId="1" fillId="3" borderId="38"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164" fontId="1" fillId="3" borderId="20" xfId="0" applyNumberFormat="1" applyFont="1" applyFill="1" applyBorder="1" applyAlignment="1">
      <alignment horizontal="center" vertical="center"/>
    </xf>
    <xf numFmtId="164" fontId="9" fillId="9" borderId="55" xfId="0" applyNumberFormat="1" applyFont="1" applyFill="1" applyBorder="1" applyAlignment="1">
      <alignment horizontal="center" vertical="center"/>
    </xf>
    <xf numFmtId="164" fontId="9" fillId="9" borderId="53" xfId="0" applyNumberFormat="1" applyFont="1" applyFill="1" applyBorder="1" applyAlignment="1">
      <alignment horizontal="center" vertical="center"/>
    </xf>
    <xf numFmtId="164" fontId="9" fillId="9" borderId="54" xfId="0" applyNumberFormat="1" applyFont="1" applyFill="1" applyBorder="1" applyAlignment="1">
      <alignment horizontal="center" vertical="center"/>
    </xf>
    <xf numFmtId="164" fontId="9" fillId="9" borderId="56" xfId="0" applyNumberFormat="1" applyFont="1" applyFill="1" applyBorder="1" applyAlignment="1">
      <alignment horizontal="center" vertical="center"/>
    </xf>
    <xf numFmtId="164" fontId="9" fillId="9" borderId="57" xfId="0" applyNumberFormat="1" applyFont="1" applyFill="1" applyBorder="1" applyAlignment="1">
      <alignment horizontal="center" vertical="center"/>
    </xf>
    <xf numFmtId="164" fontId="9" fillId="9" borderId="39" xfId="0" applyNumberFormat="1" applyFont="1" applyFill="1" applyBorder="1" applyAlignment="1">
      <alignment horizontal="center" vertical="center"/>
    </xf>
    <xf numFmtId="164" fontId="9" fillId="9" borderId="2" xfId="0" applyNumberFormat="1" applyFont="1" applyFill="1" applyBorder="1" applyAlignment="1">
      <alignment horizontal="center" vertical="center"/>
    </xf>
    <xf numFmtId="164" fontId="9" fillId="9" borderId="22" xfId="0" applyNumberFormat="1" applyFont="1" applyFill="1" applyBorder="1" applyAlignment="1">
      <alignment horizontal="center" vertical="center"/>
    </xf>
    <xf numFmtId="164" fontId="9" fillId="9" borderId="3" xfId="0" applyNumberFormat="1" applyFont="1" applyFill="1" applyBorder="1" applyAlignment="1">
      <alignment horizontal="center" vertical="center"/>
    </xf>
    <xf numFmtId="164" fontId="9" fillId="9" borderId="50" xfId="0" applyNumberFormat="1" applyFont="1" applyFill="1" applyBorder="1" applyAlignment="1">
      <alignment horizontal="center" vertical="center"/>
    </xf>
    <xf numFmtId="164" fontId="9" fillId="9" borderId="38" xfId="0" applyNumberFormat="1" applyFont="1" applyFill="1" applyBorder="1" applyAlignment="1">
      <alignment horizontal="center" vertical="center"/>
    </xf>
    <xf numFmtId="164" fontId="9" fillId="9" borderId="20" xfId="0" applyNumberFormat="1" applyFont="1" applyFill="1" applyBorder="1" applyAlignment="1">
      <alignment horizontal="center" vertical="center"/>
    </xf>
    <xf numFmtId="164" fontId="25" fillId="9" borderId="38" xfId="0" applyNumberFormat="1" applyFont="1" applyFill="1" applyBorder="1" applyAlignment="1">
      <alignment horizontal="center" vertical="center"/>
    </xf>
    <xf numFmtId="164" fontId="1" fillId="3" borderId="4" xfId="0" applyNumberFormat="1" applyFont="1" applyFill="1" applyBorder="1" applyAlignment="1">
      <alignment horizontal="center" vertical="center"/>
    </xf>
    <xf numFmtId="0" fontId="1" fillId="0" borderId="43" xfId="0" applyFont="1" applyBorder="1" applyAlignment="1">
      <alignment horizontal="center" vertical="center"/>
    </xf>
    <xf numFmtId="2" fontId="3" fillId="0" borderId="43" xfId="0" applyNumberFormat="1" applyFont="1" applyBorder="1" applyAlignment="1">
      <alignment horizontal="center" vertical="center"/>
    </xf>
    <xf numFmtId="2" fontId="0" fillId="0" borderId="43" xfId="0" applyNumberFormat="1" applyBorder="1" applyAlignment="1">
      <alignment horizontal="center" vertical="center"/>
    </xf>
    <xf numFmtId="2" fontId="1" fillId="3" borderId="6"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20" xfId="0" applyNumberFormat="1" applyFont="1" applyFill="1" applyBorder="1" applyAlignment="1">
      <alignment horizontal="center" vertical="center"/>
    </xf>
    <xf numFmtId="164" fontId="3" fillId="9" borderId="20" xfId="0" applyNumberFormat="1" applyFont="1" applyFill="1" applyBorder="1" applyAlignment="1">
      <alignment horizontal="left" vertical="center" wrapText="1"/>
    </xf>
    <xf numFmtId="2" fontId="1" fillId="3" borderId="41" xfId="0" applyNumberFormat="1" applyFont="1" applyFill="1" applyBorder="1" applyAlignment="1">
      <alignment horizontal="center" vertical="center"/>
    </xf>
    <xf numFmtId="2" fontId="1" fillId="3" borderId="38" xfId="0" applyNumberFormat="1" applyFont="1" applyFill="1" applyBorder="1" applyAlignment="1">
      <alignment horizontal="center" vertical="center"/>
    </xf>
    <xf numFmtId="2" fontId="9" fillId="0" borderId="38" xfId="0" applyNumberFormat="1" applyFont="1" applyBorder="1" applyAlignment="1">
      <alignment horizontal="center" vertical="center"/>
    </xf>
    <xf numFmtId="2" fontId="9" fillId="0" borderId="1" xfId="0" applyNumberFormat="1" applyFont="1" applyBorder="1" applyAlignment="1">
      <alignment horizontal="center" vertical="center"/>
    </xf>
    <xf numFmtId="2" fontId="9" fillId="0" borderId="20" xfId="0" applyNumberFormat="1" applyFont="1" applyBorder="1" applyAlignment="1">
      <alignment horizontal="center" vertical="center"/>
    </xf>
    <xf numFmtId="2" fontId="1" fillId="3" borderId="4" xfId="0" applyNumberFormat="1" applyFont="1" applyFill="1" applyBorder="1" applyAlignment="1">
      <alignment horizontal="center" vertical="center"/>
    </xf>
    <xf numFmtId="2" fontId="25" fillId="0" borderId="38" xfId="0" applyNumberFormat="1" applyFont="1" applyBorder="1" applyAlignment="1">
      <alignment horizontal="center" vertical="center"/>
    </xf>
    <xf numFmtId="2" fontId="9" fillId="0" borderId="55" xfId="0" applyNumberFormat="1" applyFont="1" applyBorder="1" applyAlignment="1">
      <alignment horizontal="center" vertical="center"/>
    </xf>
    <xf numFmtId="2" fontId="9" fillId="0" borderId="53" xfId="0" applyNumberFormat="1" applyFont="1" applyBorder="1" applyAlignment="1">
      <alignment horizontal="center" vertical="center"/>
    </xf>
    <xf numFmtId="2" fontId="9" fillId="0" borderId="54" xfId="0" applyNumberFormat="1" applyFont="1" applyBorder="1" applyAlignment="1">
      <alignment horizontal="center" vertical="center"/>
    </xf>
    <xf numFmtId="2" fontId="9" fillId="0" borderId="39" xfId="0" applyNumberFormat="1" applyFont="1" applyBorder="1" applyAlignment="1">
      <alignment horizontal="center" vertical="center"/>
    </xf>
    <xf numFmtId="2" fontId="9" fillId="0" borderId="2" xfId="0" applyNumberFormat="1" applyFont="1" applyBorder="1" applyAlignment="1">
      <alignment horizontal="center" vertical="center"/>
    </xf>
    <xf numFmtId="2" fontId="9" fillId="0" borderId="22" xfId="0" applyNumberFormat="1" applyFont="1" applyBorder="1" applyAlignment="1">
      <alignment horizontal="center" vertical="center"/>
    </xf>
    <xf numFmtId="0" fontId="3" fillId="10" borderId="0" xfId="0" applyFont="1" applyFill="1" applyAlignment="1">
      <alignment horizontal="center" vertical="center"/>
    </xf>
    <xf numFmtId="0" fontId="9" fillId="10" borderId="0" xfId="0" applyFont="1" applyFill="1" applyAlignment="1">
      <alignment horizontal="center" vertical="center"/>
    </xf>
    <xf numFmtId="0" fontId="9" fillId="2" borderId="0" xfId="0" applyFont="1" applyFill="1" applyAlignment="1">
      <alignment horizontal="center" vertical="center"/>
    </xf>
    <xf numFmtId="2" fontId="9" fillId="0" borderId="0" xfId="0" applyNumberFormat="1" applyFont="1" applyAlignment="1">
      <alignment horizontal="center" vertical="center"/>
    </xf>
    <xf numFmtId="164" fontId="9" fillId="0" borderId="37" xfId="0" applyNumberFormat="1" applyFont="1" applyBorder="1" applyAlignment="1">
      <alignment horizontal="center" vertical="center"/>
    </xf>
    <xf numFmtId="164" fontId="9" fillId="0" borderId="36" xfId="0" applyNumberFormat="1" applyFont="1" applyBorder="1" applyAlignment="1">
      <alignment horizontal="center" vertical="center"/>
    </xf>
    <xf numFmtId="164" fontId="9" fillId="0" borderId="26" xfId="0" applyNumberFormat="1" applyFont="1" applyBorder="1" applyAlignment="1">
      <alignment horizontal="center" vertical="center"/>
    </xf>
    <xf numFmtId="164" fontId="9" fillId="0" borderId="62" xfId="0" applyNumberFormat="1" applyFont="1" applyBorder="1" applyAlignment="1">
      <alignment horizontal="center" vertical="center"/>
    </xf>
    <xf numFmtId="164" fontId="9" fillId="0" borderId="63" xfId="0" applyNumberFormat="1" applyFont="1" applyBorder="1" applyAlignment="1">
      <alignment horizontal="center" vertical="center"/>
    </xf>
    <xf numFmtId="0" fontId="9" fillId="0" borderId="0" xfId="0" applyFont="1" applyAlignment="1">
      <alignment horizontal="center" vertical="center"/>
    </xf>
    <xf numFmtId="165" fontId="9" fillId="0" borderId="0" xfId="0" applyNumberFormat="1" applyFont="1" applyAlignment="1">
      <alignment horizontal="center" vertical="center"/>
    </xf>
    <xf numFmtId="0" fontId="9" fillId="0" borderId="33" xfId="0" applyFont="1" applyBorder="1" applyAlignment="1">
      <alignment horizontal="center" vertical="center"/>
    </xf>
    <xf numFmtId="0" fontId="9" fillId="0" borderId="26" xfId="0" applyFont="1" applyBorder="1" applyAlignment="1">
      <alignment horizontal="center" vertical="center"/>
    </xf>
    <xf numFmtId="0" fontId="9" fillId="0" borderId="72" xfId="0" applyFont="1" applyBorder="1" applyAlignment="1">
      <alignment horizontal="center" vertical="center"/>
    </xf>
    <xf numFmtId="0" fontId="9" fillId="0" borderId="33" xfId="0" applyFont="1" applyBorder="1" applyAlignment="1">
      <alignment vertical="center" wrapText="1"/>
    </xf>
    <xf numFmtId="0" fontId="9" fillId="0" borderId="36" xfId="0" applyFont="1" applyBorder="1" applyAlignment="1">
      <alignment vertical="center" wrapText="1"/>
    </xf>
    <xf numFmtId="0" fontId="9" fillId="0" borderId="57" xfId="0" applyFont="1" applyBorder="1" applyAlignment="1">
      <alignment vertical="center" wrapText="1"/>
    </xf>
    <xf numFmtId="0" fontId="9" fillId="0" borderId="64" xfId="0" applyFont="1" applyBorder="1" applyAlignment="1">
      <alignment vertical="center" wrapText="1"/>
    </xf>
    <xf numFmtId="0" fontId="9" fillId="0" borderId="51" xfId="0" applyFont="1" applyBorder="1" applyAlignment="1">
      <alignment vertical="center" wrapText="1"/>
    </xf>
    <xf numFmtId="0" fontId="9" fillId="0" borderId="37" xfId="0" applyFont="1" applyBorder="1" applyAlignment="1">
      <alignment vertical="center" wrapText="1"/>
    </xf>
    <xf numFmtId="0" fontId="9" fillId="0" borderId="26" xfId="0" applyFont="1" applyBorder="1" applyAlignment="1">
      <alignment vertical="center" wrapText="1"/>
    </xf>
    <xf numFmtId="0" fontId="9" fillId="0" borderId="62" xfId="0" applyFont="1" applyBorder="1" applyAlignment="1">
      <alignment vertical="center" wrapText="1"/>
    </xf>
    <xf numFmtId="0" fontId="9" fillId="0" borderId="0" xfId="0" applyFont="1" applyAlignment="1">
      <alignment vertical="center" wrapText="1"/>
    </xf>
    <xf numFmtId="0" fontId="9" fillId="0" borderId="63" xfId="0" applyFont="1" applyBorder="1" applyAlignment="1">
      <alignment vertical="center" wrapText="1"/>
    </xf>
    <xf numFmtId="164" fontId="9" fillId="0" borderId="38" xfId="0" applyNumberFormat="1" applyFont="1" applyBorder="1" applyAlignment="1">
      <alignment horizontal="center" vertical="center"/>
    </xf>
    <xf numFmtId="165" fontId="9" fillId="0" borderId="1" xfId="0" applyNumberFormat="1" applyFont="1" applyBorder="1" applyAlignment="1">
      <alignment horizontal="center" vertical="center"/>
    </xf>
    <xf numFmtId="165" fontId="9" fillId="0" borderId="4" xfId="0" applyNumberFormat="1" applyFont="1" applyBorder="1" applyAlignment="1">
      <alignment horizontal="center" vertical="center"/>
    </xf>
    <xf numFmtId="165" fontId="9" fillId="0" borderId="2" xfId="0" applyNumberFormat="1" applyFont="1" applyBorder="1" applyAlignment="1">
      <alignment horizontal="center" vertical="center"/>
    </xf>
    <xf numFmtId="165" fontId="9" fillId="0" borderId="3" xfId="0" applyNumberFormat="1" applyFont="1" applyBorder="1" applyAlignment="1">
      <alignment horizontal="center" vertical="center"/>
    </xf>
    <xf numFmtId="164" fontId="1" fillId="3" borderId="58" xfId="0" applyNumberFormat="1" applyFont="1" applyFill="1" applyBorder="1" applyAlignment="1">
      <alignment horizontal="center" vertical="center"/>
    </xf>
    <xf numFmtId="164" fontId="1" fillId="3" borderId="59" xfId="0" applyNumberFormat="1" applyFont="1" applyFill="1" applyBorder="1" applyAlignment="1">
      <alignment horizontal="center" vertical="center"/>
    </xf>
    <xf numFmtId="164" fontId="9" fillId="0" borderId="59" xfId="0" applyNumberFormat="1" applyFont="1" applyBorder="1" applyAlignment="1">
      <alignment horizontal="center" vertical="center"/>
    </xf>
    <xf numFmtId="0" fontId="6" fillId="11" borderId="18" xfId="0" applyFont="1" applyFill="1" applyBorder="1" applyAlignment="1">
      <alignment horizontal="center" vertical="center" wrapText="1"/>
    </xf>
    <xf numFmtId="0" fontId="3" fillId="0" borderId="0" xfId="0" applyFont="1" applyAlignment="1">
      <alignment horizontal="center" vertical="center" wrapText="1"/>
    </xf>
    <xf numFmtId="166" fontId="3" fillId="16" borderId="2" xfId="0" applyNumberFormat="1" applyFont="1" applyFill="1" applyBorder="1" applyAlignment="1">
      <alignment horizontal="center" vertical="center"/>
    </xf>
    <xf numFmtId="2" fontId="3" fillId="16" borderId="2" xfId="0" applyNumberFormat="1" applyFont="1" applyFill="1" applyBorder="1" applyAlignment="1">
      <alignment horizontal="center" vertical="center"/>
    </xf>
    <xf numFmtId="164" fontId="3" fillId="16" borderId="2" xfId="0" applyNumberFormat="1" applyFont="1" applyFill="1" applyBorder="1" applyAlignment="1">
      <alignment horizontal="center" vertical="center"/>
    </xf>
    <xf numFmtId="2" fontId="3" fillId="16" borderId="6" xfId="0" applyNumberFormat="1" applyFont="1" applyFill="1" applyBorder="1" applyAlignment="1">
      <alignment horizontal="center" vertical="center"/>
    </xf>
    <xf numFmtId="2" fontId="3" fillId="16" borderId="22" xfId="0" applyNumberFormat="1" applyFont="1" applyFill="1" applyBorder="1" applyAlignment="1">
      <alignment horizontal="center" vertical="center"/>
    </xf>
    <xf numFmtId="2" fontId="3" fillId="16" borderId="67" xfId="0" applyNumberFormat="1" applyFont="1" applyFill="1" applyBorder="1" applyAlignment="1">
      <alignment horizontal="center" vertical="center"/>
    </xf>
    <xf numFmtId="2" fontId="3" fillId="16" borderId="45" xfId="0" applyNumberFormat="1" applyFont="1" applyFill="1" applyBorder="1" applyAlignment="1">
      <alignment horizontal="center" vertical="center"/>
    </xf>
    <xf numFmtId="10" fontId="27" fillId="8" borderId="6" xfId="0" applyNumberFormat="1" applyFont="1" applyFill="1" applyBorder="1" applyAlignment="1">
      <alignment horizontal="center" vertical="center" wrapText="1"/>
    </xf>
    <xf numFmtId="2" fontId="1" fillId="8" borderId="41" xfId="0" applyNumberFormat="1" applyFont="1" applyFill="1" applyBorder="1" applyAlignment="1">
      <alignment horizontal="center" vertical="center"/>
    </xf>
    <xf numFmtId="2" fontId="1" fillId="8" borderId="39" xfId="0" applyNumberFormat="1" applyFont="1" applyFill="1" applyBorder="1" applyAlignment="1">
      <alignment horizontal="center" vertical="center"/>
    </xf>
    <xf numFmtId="164" fontId="9" fillId="3" borderId="8" xfId="0" applyNumberFormat="1" applyFont="1" applyFill="1" applyBorder="1" applyAlignment="1">
      <alignment horizontal="center" vertical="center"/>
    </xf>
    <xf numFmtId="164" fontId="9" fillId="9" borderId="4" xfId="0" applyNumberFormat="1" applyFont="1" applyFill="1" applyBorder="1" applyAlignment="1">
      <alignment horizontal="center" vertical="center"/>
    </xf>
    <xf numFmtId="2" fontId="1" fillId="8" borderId="2" xfId="0" applyNumberFormat="1" applyFont="1" applyFill="1" applyBorder="1" applyAlignment="1">
      <alignment horizontal="center" vertical="center"/>
    </xf>
    <xf numFmtId="2" fontId="1" fillId="8" borderId="3" xfId="0" applyNumberFormat="1" applyFont="1" applyFill="1" applyBorder="1" applyAlignment="1">
      <alignment horizontal="center" vertical="center"/>
    </xf>
    <xf numFmtId="0" fontId="1" fillId="8" borderId="41"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165" fontId="3" fillId="14" borderId="12" xfId="0" applyNumberFormat="1" applyFont="1" applyFill="1" applyBorder="1" applyAlignment="1">
      <alignment horizontal="center" vertical="center"/>
    </xf>
    <xf numFmtId="166" fontId="3" fillId="8" borderId="5" xfId="0" applyNumberFormat="1" applyFont="1" applyFill="1" applyBorder="1" applyAlignment="1">
      <alignment horizontal="center" vertical="center"/>
    </xf>
    <xf numFmtId="0" fontId="0" fillId="17" borderId="38" xfId="0" applyFill="1" applyBorder="1" applyAlignment="1">
      <alignment horizontal="center" vertical="center"/>
    </xf>
    <xf numFmtId="10" fontId="1" fillId="0" borderId="0" xfId="0" applyNumberFormat="1" applyFont="1" applyAlignment="1">
      <alignment horizontal="center" vertical="center" wrapText="1"/>
    </xf>
    <xf numFmtId="0" fontId="21" fillId="0" borderId="12" xfId="0" applyFont="1" applyBorder="1" applyAlignment="1">
      <alignment horizontal="center" vertical="center" wrapText="1"/>
    </xf>
    <xf numFmtId="10" fontId="27" fillId="5" borderId="6" xfId="0" applyNumberFormat="1" applyFont="1" applyFill="1" applyBorder="1" applyAlignment="1">
      <alignment horizontal="center" vertical="center" wrapText="1"/>
    </xf>
    <xf numFmtId="10" fontId="3" fillId="0" borderId="0" xfId="0" applyNumberFormat="1" applyFont="1" applyAlignment="1">
      <alignment vertical="center"/>
    </xf>
    <xf numFmtId="10" fontId="1" fillId="0" borderId="2" xfId="0" applyNumberFormat="1" applyFont="1" applyBorder="1" applyAlignment="1">
      <alignment horizontal="center" vertical="center"/>
    </xf>
    <xf numFmtId="10" fontId="1" fillId="14" borderId="2" xfId="0" applyNumberFormat="1" applyFont="1" applyFill="1" applyBorder="1" applyAlignment="1">
      <alignment vertical="center"/>
    </xf>
    <xf numFmtId="10" fontId="1" fillId="14" borderId="2" xfId="0" applyNumberFormat="1" applyFont="1" applyFill="1" applyBorder="1" applyAlignment="1">
      <alignment horizontal="center" vertical="center"/>
    </xf>
    <xf numFmtId="10" fontId="1" fillId="14" borderId="3" xfId="0" applyNumberFormat="1" applyFont="1" applyFill="1" applyBorder="1" applyAlignment="1">
      <alignment vertical="center"/>
    </xf>
    <xf numFmtId="0" fontId="1" fillId="5" borderId="41"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4" xfId="0" applyFont="1" applyFill="1" applyBorder="1" applyAlignment="1">
      <alignment horizontal="center" vertical="center"/>
    </xf>
    <xf numFmtId="164" fontId="3" fillId="0" borderId="42" xfId="0" applyNumberFormat="1" applyFont="1" applyBorder="1" applyAlignment="1">
      <alignment horizontal="right" vertical="center"/>
    </xf>
    <xf numFmtId="164" fontId="3" fillId="0" borderId="43" xfId="0" applyNumberFormat="1" applyFont="1" applyBorder="1" applyAlignment="1">
      <alignment horizontal="right" vertical="center"/>
    </xf>
    <xf numFmtId="164" fontId="3" fillId="0" borderId="45" xfId="0" applyNumberFormat="1" applyFont="1" applyBorder="1" applyAlignment="1">
      <alignment horizontal="right" vertical="center"/>
    </xf>
    <xf numFmtId="166" fontId="1" fillId="8" borderId="41" xfId="0" applyNumberFormat="1" applyFont="1" applyFill="1" applyBorder="1" applyAlignment="1">
      <alignment horizontal="center" vertical="center"/>
    </xf>
    <xf numFmtId="0" fontId="6" fillId="13" borderId="18"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6" fillId="10" borderId="45"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45" xfId="0" applyFont="1" applyFill="1" applyBorder="1" applyAlignment="1">
      <alignment horizontal="center" vertical="center" wrapText="1"/>
    </xf>
    <xf numFmtId="164" fontId="1" fillId="10" borderId="46" xfId="0" applyNumberFormat="1" applyFont="1" applyFill="1" applyBorder="1" applyAlignment="1">
      <alignment horizontal="center"/>
    </xf>
    <xf numFmtId="165" fontId="1" fillId="11" borderId="17" xfId="0" applyNumberFormat="1" applyFont="1" applyFill="1" applyBorder="1" applyAlignment="1">
      <alignment horizontal="center" vertical="center"/>
    </xf>
    <xf numFmtId="2" fontId="1" fillId="13" borderId="17" xfId="0" applyNumberFormat="1" applyFont="1" applyFill="1" applyBorder="1" applyAlignment="1">
      <alignment horizontal="center" vertical="center"/>
    </xf>
    <xf numFmtId="165" fontId="1" fillId="14" borderId="17" xfId="0" applyNumberFormat="1" applyFont="1" applyFill="1" applyBorder="1" applyAlignment="1">
      <alignment horizontal="center" vertical="center"/>
    </xf>
    <xf numFmtId="164" fontId="1" fillId="0" borderId="66" xfId="0" applyNumberFormat="1" applyFont="1" applyBorder="1" applyAlignment="1">
      <alignment horizontal="center"/>
    </xf>
    <xf numFmtId="165" fontId="1" fillId="0" borderId="66" xfId="0" applyNumberFormat="1" applyFont="1" applyBorder="1" applyAlignment="1">
      <alignment horizontal="center" vertical="center"/>
    </xf>
    <xf numFmtId="164" fontId="1" fillId="0" borderId="66" xfId="0" applyNumberFormat="1" applyFont="1" applyBorder="1" applyAlignment="1">
      <alignment horizontal="center" vertical="center"/>
    </xf>
    <xf numFmtId="10" fontId="1" fillId="0" borderId="66" xfId="0" applyNumberFormat="1" applyFont="1" applyBorder="1" applyAlignment="1">
      <alignment horizontal="center" vertical="center"/>
    </xf>
    <xf numFmtId="164" fontId="3" fillId="0" borderId="69" xfId="0" applyNumberFormat="1" applyFont="1" applyBorder="1" applyAlignment="1">
      <alignment horizontal="center" vertical="center"/>
    </xf>
    <xf numFmtId="164" fontId="1" fillId="2"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xf>
    <xf numFmtId="0" fontId="1" fillId="8" borderId="17" xfId="0" applyFont="1" applyFill="1" applyBorder="1" applyAlignment="1">
      <alignment horizontal="center" vertical="center"/>
    </xf>
    <xf numFmtId="0" fontId="1" fillId="5" borderId="17" xfId="0" applyFont="1" applyFill="1" applyBorder="1" applyAlignment="1">
      <alignment horizontal="center" vertical="center"/>
    </xf>
    <xf numFmtId="0" fontId="1" fillId="7" borderId="9" xfId="0" applyFont="1" applyFill="1" applyBorder="1" applyAlignment="1">
      <alignment horizontal="center" vertical="center"/>
    </xf>
    <xf numFmtId="0" fontId="1" fillId="8" borderId="12" xfId="0" applyFont="1" applyFill="1" applyBorder="1" applyAlignment="1">
      <alignment horizontal="center" vertical="center"/>
    </xf>
    <xf numFmtId="164" fontId="1" fillId="2" borderId="12" xfId="0" applyNumberFormat="1" applyFont="1" applyFill="1" applyBorder="1" applyAlignment="1">
      <alignment horizontal="center" vertical="center" wrapText="1"/>
    </xf>
    <xf numFmtId="0" fontId="1" fillId="7" borderId="12" xfId="0" applyFont="1" applyFill="1" applyBorder="1" applyAlignment="1">
      <alignment horizontal="center" vertical="center"/>
    </xf>
    <xf numFmtId="10" fontId="1" fillId="0" borderId="66" xfId="0" applyNumberFormat="1" applyFont="1" applyBorder="1" applyAlignment="1">
      <alignment horizontal="center" vertical="center" wrapText="1"/>
    </xf>
    <xf numFmtId="164" fontId="1" fillId="2" borderId="47" xfId="0" applyNumberFormat="1" applyFont="1" applyFill="1" applyBorder="1" applyAlignment="1">
      <alignment horizontal="center" vertical="center" wrapText="1"/>
    </xf>
    <xf numFmtId="0" fontId="1" fillId="3" borderId="47" xfId="0" applyFont="1" applyFill="1" applyBorder="1" applyAlignment="1">
      <alignment horizontal="center" vertical="center"/>
    </xf>
    <xf numFmtId="0" fontId="1" fillId="8" borderId="47" xfId="0" applyFont="1" applyFill="1" applyBorder="1" applyAlignment="1">
      <alignment horizontal="center" vertical="center"/>
    </xf>
    <xf numFmtId="0" fontId="1" fillId="5" borderId="47" xfId="0" applyFont="1" applyFill="1" applyBorder="1" applyAlignment="1">
      <alignment horizontal="center" vertical="center"/>
    </xf>
    <xf numFmtId="10" fontId="0" fillId="11" borderId="4" xfId="0" applyNumberFormat="1" applyFill="1" applyBorder="1" applyAlignment="1">
      <alignment horizontal="center" vertical="center" wrapText="1"/>
    </xf>
    <xf numFmtId="10" fontId="0" fillId="10" borderId="5" xfId="0" applyNumberFormat="1" applyFill="1" applyBorder="1" applyAlignment="1">
      <alignment horizontal="center" vertical="center"/>
    </xf>
    <xf numFmtId="0" fontId="0" fillId="14" borderId="38" xfId="0" applyFill="1" applyBorder="1" applyAlignment="1">
      <alignment horizontal="center" vertical="center"/>
    </xf>
    <xf numFmtId="10" fontId="0" fillId="14" borderId="5" xfId="0" applyNumberFormat="1" applyFill="1" applyBorder="1" applyAlignment="1">
      <alignment horizontal="center" vertical="center"/>
    </xf>
    <xf numFmtId="0" fontId="0" fillId="16" borderId="38" xfId="0" applyFill="1" applyBorder="1" applyAlignment="1">
      <alignment horizontal="center" vertical="center"/>
    </xf>
    <xf numFmtId="10" fontId="0" fillId="16" borderId="5" xfId="0" applyNumberFormat="1" applyFill="1" applyBorder="1" applyAlignment="1">
      <alignment horizontal="center" vertical="center"/>
    </xf>
    <xf numFmtId="10" fontId="0" fillId="16" borderId="5" xfId="0" applyNumberFormat="1" applyFill="1" applyBorder="1" applyAlignment="1">
      <alignment horizontal="center" vertical="center" wrapText="1"/>
    </xf>
    <xf numFmtId="10" fontId="0" fillId="13" borderId="5" xfId="0" applyNumberFormat="1" applyFill="1" applyBorder="1" applyAlignment="1">
      <alignment horizontal="center" vertical="center"/>
    </xf>
    <xf numFmtId="10" fontId="0" fillId="15" borderId="5" xfId="0" applyNumberFormat="1" applyFill="1" applyBorder="1" applyAlignment="1">
      <alignment horizontal="center" vertical="center"/>
    </xf>
    <xf numFmtId="10" fontId="0" fillId="14" borderId="12" xfId="0" applyNumberFormat="1" applyFill="1" applyBorder="1" applyAlignment="1">
      <alignment horizontal="center" vertical="center"/>
    </xf>
    <xf numFmtId="10" fontId="0" fillId="10" borderId="8" xfId="0" applyNumberFormat="1" applyFill="1" applyBorder="1" applyAlignment="1">
      <alignment horizontal="center" vertical="center"/>
    </xf>
    <xf numFmtId="10" fontId="0" fillId="14" borderId="8" xfId="0" applyNumberFormat="1" applyFill="1" applyBorder="1" applyAlignment="1">
      <alignment horizontal="center" vertical="center"/>
    </xf>
    <xf numFmtId="10" fontId="0" fillId="16" borderId="8" xfId="0" applyNumberFormat="1" applyFill="1" applyBorder="1" applyAlignment="1">
      <alignment horizontal="center" vertical="center" wrapText="1"/>
    </xf>
    <xf numFmtId="10" fontId="0" fillId="13" borderId="8" xfId="0" applyNumberFormat="1" applyFill="1" applyBorder="1" applyAlignment="1">
      <alignment horizontal="center" vertical="center"/>
    </xf>
    <xf numFmtId="10" fontId="0" fillId="15" borderId="8" xfId="0" applyNumberFormat="1" applyFill="1" applyBorder="1" applyAlignment="1">
      <alignment horizontal="center" vertical="center"/>
    </xf>
    <xf numFmtId="10" fontId="0" fillId="14" borderId="13" xfId="0" applyNumberFormat="1" applyFill="1" applyBorder="1" applyAlignment="1">
      <alignment horizontal="center" vertical="center"/>
    </xf>
    <xf numFmtId="10" fontId="3" fillId="10" borderId="5" xfId="0" applyNumberFormat="1" applyFont="1" applyFill="1" applyBorder="1" applyAlignment="1">
      <alignment horizontal="center" vertical="center"/>
    </xf>
    <xf numFmtId="10" fontId="0" fillId="17" borderId="5" xfId="0" applyNumberFormat="1" applyFill="1" applyBorder="1" applyAlignment="1">
      <alignment horizontal="center" vertical="center"/>
    </xf>
    <xf numFmtId="10" fontId="0" fillId="17" borderId="5" xfId="0" applyNumberFormat="1" applyFill="1" applyBorder="1" applyAlignment="1">
      <alignment horizontal="center" vertical="center" wrapText="1"/>
    </xf>
    <xf numFmtId="0" fontId="5" fillId="0" borderId="46" xfId="0" applyFont="1" applyBorder="1" applyAlignment="1">
      <alignment horizontal="center" vertical="center"/>
    </xf>
    <xf numFmtId="0" fontId="1" fillId="0" borderId="39" xfId="0" applyFont="1" applyBorder="1" applyAlignment="1">
      <alignment horizontal="center" vertical="center" wrapText="1"/>
    </xf>
    <xf numFmtId="0" fontId="3" fillId="0" borderId="1" xfId="0" applyFont="1" applyBorder="1" applyAlignment="1">
      <alignment horizontal="center" vertical="center"/>
    </xf>
    <xf numFmtId="164" fontId="3" fillId="0" borderId="4"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68" xfId="0" applyFont="1" applyBorder="1" applyAlignment="1">
      <alignment horizontal="center" vertical="center"/>
    </xf>
    <xf numFmtId="0" fontId="3" fillId="0" borderId="43"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1" fillId="7" borderId="74" xfId="0" applyFont="1" applyFill="1" applyBorder="1" applyAlignment="1">
      <alignment horizontal="center" vertical="center"/>
    </xf>
    <xf numFmtId="164" fontId="1" fillId="6" borderId="1" xfId="0" applyNumberFormat="1" applyFont="1" applyFill="1" applyBorder="1" applyAlignment="1">
      <alignment horizontal="center" vertical="center"/>
    </xf>
    <xf numFmtId="0" fontId="1" fillId="6" borderId="41" xfId="0" applyFont="1" applyFill="1" applyBorder="1" applyAlignment="1">
      <alignment horizontal="center" vertical="center"/>
    </xf>
    <xf numFmtId="164" fontId="1" fillId="6" borderId="38" xfId="0" applyNumberFormat="1" applyFont="1" applyFill="1" applyBorder="1" applyAlignment="1">
      <alignment horizontal="center" vertical="center"/>
    </xf>
    <xf numFmtId="164" fontId="1" fillId="7" borderId="41" xfId="0" applyNumberFormat="1" applyFont="1" applyFill="1" applyBorder="1" applyAlignment="1">
      <alignment horizontal="center" vertical="center"/>
    </xf>
    <xf numFmtId="164" fontId="1" fillId="7" borderId="5" xfId="0" applyNumberFormat="1" applyFont="1" applyFill="1" applyBorder="1" applyAlignment="1">
      <alignment horizontal="center" vertical="center"/>
    </xf>
    <xf numFmtId="164" fontId="1" fillId="7" borderId="19" xfId="0" applyNumberFormat="1" applyFont="1" applyFill="1" applyBorder="1" applyAlignment="1">
      <alignment horizontal="center" vertical="center"/>
    </xf>
    <xf numFmtId="164" fontId="1" fillId="7" borderId="38" xfId="0" applyNumberFormat="1" applyFont="1" applyFill="1" applyBorder="1" applyAlignment="1">
      <alignment horizontal="center" vertical="center"/>
    </xf>
    <xf numFmtId="164" fontId="1" fillId="7" borderId="1" xfId="0" applyNumberFormat="1" applyFont="1" applyFill="1" applyBorder="1" applyAlignment="1">
      <alignment horizontal="center" vertical="center"/>
    </xf>
    <xf numFmtId="164" fontId="1" fillId="7" borderId="20" xfId="0" applyNumberFormat="1" applyFont="1" applyFill="1" applyBorder="1" applyAlignment="1">
      <alignment horizontal="center" vertical="center"/>
    </xf>
    <xf numFmtId="164" fontId="1" fillId="7" borderId="39" xfId="0" applyNumberFormat="1" applyFont="1" applyFill="1" applyBorder="1" applyAlignment="1">
      <alignment horizontal="center" vertical="center"/>
    </xf>
    <xf numFmtId="164" fontId="1" fillId="7" borderId="2" xfId="0" applyNumberFormat="1" applyFont="1" applyFill="1" applyBorder="1" applyAlignment="1">
      <alignment horizontal="center" vertical="center"/>
    </xf>
    <xf numFmtId="164" fontId="1" fillId="7" borderId="22" xfId="0" applyNumberFormat="1" applyFont="1" applyFill="1" applyBorder="1" applyAlignment="1">
      <alignment horizontal="center" vertical="center"/>
    </xf>
    <xf numFmtId="2" fontId="1" fillId="6" borderId="2" xfId="0" applyNumberFormat="1" applyFont="1" applyFill="1" applyBorder="1" applyAlignment="1">
      <alignment horizontal="center" vertical="center"/>
    </xf>
    <xf numFmtId="165" fontId="3" fillId="6" borderId="22" xfId="0" applyNumberFormat="1" applyFont="1" applyFill="1" applyBorder="1" applyAlignment="1">
      <alignment horizontal="center" vertical="center"/>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60" xfId="0" applyBorder="1" applyAlignment="1">
      <alignment vertical="center"/>
    </xf>
    <xf numFmtId="164" fontId="1" fillId="6" borderId="41" xfId="0" applyNumberFormat="1" applyFont="1" applyFill="1" applyBorder="1" applyAlignment="1">
      <alignment horizontal="center" vertical="center"/>
    </xf>
    <xf numFmtId="2" fontId="1" fillId="6" borderId="1" xfId="0" applyNumberFormat="1" applyFont="1" applyFill="1" applyBorder="1" applyAlignment="1">
      <alignment horizontal="center" vertical="center"/>
    </xf>
    <xf numFmtId="2" fontId="1" fillId="6" borderId="3" xfId="0" applyNumberFormat="1" applyFont="1" applyFill="1" applyBorder="1" applyAlignment="1">
      <alignment horizontal="center" vertical="center"/>
    </xf>
    <xf numFmtId="166" fontId="1" fillId="6" borderId="38" xfId="0" applyNumberFormat="1" applyFont="1" applyFill="1" applyBorder="1" applyAlignment="1">
      <alignment horizontal="center" vertical="center"/>
    </xf>
    <xf numFmtId="165" fontId="1" fillId="6" borderId="39" xfId="0" applyNumberFormat="1" applyFont="1" applyFill="1" applyBorder="1" applyAlignment="1">
      <alignment horizontal="center" vertical="center"/>
    </xf>
    <xf numFmtId="165" fontId="1" fillId="6" borderId="3" xfId="0" applyNumberFormat="1" applyFont="1" applyFill="1" applyBorder="1" applyAlignment="1">
      <alignment horizontal="center" vertical="center"/>
    </xf>
    <xf numFmtId="0" fontId="1" fillId="6" borderId="58" xfId="0" applyFont="1" applyFill="1" applyBorder="1" applyAlignment="1">
      <alignment horizontal="center" vertical="center"/>
    </xf>
    <xf numFmtId="0" fontId="1" fillId="6" borderId="59" xfId="0" applyFont="1" applyFill="1" applyBorder="1" applyAlignment="1">
      <alignment horizontal="center" vertical="center"/>
    </xf>
    <xf numFmtId="0" fontId="1" fillId="6" borderId="60" xfId="0" applyFont="1" applyFill="1" applyBorder="1" applyAlignment="1">
      <alignment horizontal="center" vertical="center"/>
    </xf>
    <xf numFmtId="0" fontId="3" fillId="13" borderId="5" xfId="0" applyFont="1" applyFill="1" applyBorder="1" applyAlignment="1">
      <alignment horizontal="center" vertical="center"/>
    </xf>
    <xf numFmtId="164" fontId="3" fillId="6" borderId="2" xfId="0" applyNumberFormat="1" applyFont="1" applyFill="1" applyBorder="1" applyAlignment="1">
      <alignment horizontal="center" vertical="center"/>
    </xf>
    <xf numFmtId="164" fontId="27" fillId="8" borderId="6" xfId="0" applyNumberFormat="1" applyFont="1" applyFill="1" applyBorder="1" applyAlignment="1">
      <alignment horizontal="center" vertical="center" wrapText="1"/>
    </xf>
    <xf numFmtId="0" fontId="0" fillId="0" borderId="45" xfId="0" applyBorder="1"/>
    <xf numFmtId="164" fontId="3" fillId="0" borderId="38" xfId="0" applyNumberFormat="1" applyFont="1" applyBorder="1" applyAlignment="1">
      <alignment horizontal="center" vertical="center"/>
    </xf>
    <xf numFmtId="164" fontId="0" fillId="0" borderId="0" xfId="0" applyNumberFormat="1" applyAlignment="1">
      <alignment horizontal="right" vertical="center"/>
    </xf>
    <xf numFmtId="0" fontId="3" fillId="0" borderId="11" xfId="0" applyFont="1" applyBorder="1" applyAlignment="1">
      <alignment horizontal="right" vertical="center"/>
    </xf>
    <xf numFmtId="164" fontId="1" fillId="2" borderId="38"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2" fontId="3" fillId="2" borderId="68" xfId="0" applyNumberFormat="1" applyFont="1" applyFill="1" applyBorder="1" applyAlignment="1">
      <alignment horizontal="center" vertical="center"/>
    </xf>
    <xf numFmtId="2" fontId="3" fillId="2" borderId="17" xfId="0" applyNumberFormat="1" applyFont="1" applyFill="1" applyBorder="1" applyAlignment="1">
      <alignment horizontal="center" vertical="center"/>
    </xf>
    <xf numFmtId="2" fontId="3" fillId="2" borderId="73"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4" fontId="1" fillId="3" borderId="41" xfId="0" applyNumberFormat="1" applyFont="1" applyFill="1" applyBorder="1" applyAlignment="1">
      <alignment horizontal="center" vertical="center"/>
    </xf>
    <xf numFmtId="164" fontId="9" fillId="3" borderId="5" xfId="0" applyNumberFormat="1" applyFont="1" applyFill="1" applyBorder="1" applyAlignment="1">
      <alignment horizontal="center" vertical="center"/>
    </xf>
    <xf numFmtId="164" fontId="9" fillId="3" borderId="19" xfId="0" applyNumberFormat="1" applyFont="1" applyFill="1" applyBorder="1" applyAlignment="1">
      <alignment horizontal="center" vertical="center"/>
    </xf>
    <xf numFmtId="164" fontId="3" fillId="3" borderId="38" xfId="0" applyNumberFormat="1" applyFont="1" applyFill="1" applyBorder="1" applyAlignment="1">
      <alignment horizontal="center" vertical="center"/>
    </xf>
    <xf numFmtId="164" fontId="1" fillId="9" borderId="38" xfId="0" applyNumberFormat="1" applyFont="1" applyFill="1" applyBorder="1" applyAlignment="1">
      <alignment horizontal="center" vertical="center"/>
    </xf>
    <xf numFmtId="164" fontId="29" fillId="9" borderId="38" xfId="0" applyNumberFormat="1" applyFont="1" applyFill="1" applyBorder="1" applyAlignment="1">
      <alignment horizontal="center" vertical="center"/>
    </xf>
    <xf numFmtId="164" fontId="1" fillId="9" borderId="55" xfId="0" applyNumberFormat="1" applyFont="1" applyFill="1" applyBorder="1" applyAlignment="1">
      <alignment horizontal="center" vertical="center"/>
    </xf>
    <xf numFmtId="164" fontId="3" fillId="9" borderId="38" xfId="0" applyNumberFormat="1" applyFont="1" applyFill="1" applyBorder="1" applyAlignment="1">
      <alignment horizontal="center" vertical="center"/>
    </xf>
    <xf numFmtId="164" fontId="3" fillId="3" borderId="40"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2" fontId="5" fillId="3" borderId="6" xfId="0" applyNumberFormat="1" applyFont="1" applyFill="1" applyBorder="1" applyAlignment="1">
      <alignment horizontal="center" vertical="center"/>
    </xf>
    <xf numFmtId="2" fontId="5" fillId="3" borderId="8"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2" fontId="5" fillId="3" borderId="4" xfId="0" applyNumberFormat="1" applyFont="1" applyFill="1" applyBorder="1" applyAlignment="1">
      <alignment horizontal="center" vertical="center"/>
    </xf>
    <xf numFmtId="2" fontId="5" fillId="0" borderId="38" xfId="0" applyNumberFormat="1" applyFont="1" applyBorder="1" applyAlignment="1">
      <alignment horizontal="center" vertical="center"/>
    </xf>
    <xf numFmtId="2" fontId="5" fillId="0" borderId="1" xfId="0"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3" borderId="38" xfId="0" applyNumberFormat="1" applyFont="1" applyFill="1" applyBorder="1" applyAlignment="1">
      <alignment horizontal="center" vertical="center"/>
    </xf>
    <xf numFmtId="2" fontId="28" fillId="0" borderId="38" xfId="0" applyNumberFormat="1" applyFont="1" applyBorder="1" applyAlignment="1">
      <alignment horizontal="center" vertical="center"/>
    </xf>
    <xf numFmtId="2" fontId="5" fillId="0" borderId="55" xfId="0" applyNumberFormat="1" applyFont="1" applyBorder="1" applyAlignment="1">
      <alignment horizontal="center" vertical="center"/>
    </xf>
    <xf numFmtId="2" fontId="5" fillId="0" borderId="53" xfId="0" applyNumberFormat="1" applyFont="1" applyBorder="1" applyAlignment="1">
      <alignment horizontal="center" vertical="center"/>
    </xf>
    <xf numFmtId="2" fontId="5" fillId="0" borderId="56" xfId="0" applyNumberFormat="1" applyFont="1" applyBorder="1" applyAlignment="1">
      <alignment horizontal="center" vertical="center"/>
    </xf>
    <xf numFmtId="2" fontId="5" fillId="0" borderId="39" xfId="0" applyNumberFormat="1"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 xfId="0" applyNumberFormat="1" applyFont="1" applyBorder="1" applyAlignment="1">
      <alignment horizontal="center" vertical="center"/>
    </xf>
    <xf numFmtId="164" fontId="1" fillId="7" borderId="40" xfId="0" applyNumberFormat="1" applyFont="1" applyFill="1" applyBorder="1" applyAlignment="1">
      <alignment horizontal="center" vertic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3" fillId="0" borderId="28" xfId="0" applyFont="1" applyBorder="1" applyAlignment="1">
      <alignment horizontal="right" vertical="center" wrapText="1"/>
    </xf>
    <xf numFmtId="0" fontId="3" fillId="0" borderId="32" xfId="0" applyFont="1" applyBorder="1" applyAlignment="1">
      <alignment vertical="center" wrapText="1"/>
    </xf>
    <xf numFmtId="0" fontId="3" fillId="0" borderId="25" xfId="0" applyFont="1" applyBorder="1" applyAlignment="1">
      <alignment vertical="center" wrapText="1"/>
    </xf>
    <xf numFmtId="0" fontId="0" fillId="0" borderId="27" xfId="0" applyBorder="1" applyAlignment="1">
      <alignment vertical="center"/>
    </xf>
    <xf numFmtId="0" fontId="1" fillId="0" borderId="32" xfId="0" applyFont="1" applyBorder="1" applyAlignment="1">
      <alignment horizontal="left" vertical="center"/>
    </xf>
    <xf numFmtId="0" fontId="1" fillId="0" borderId="25" xfId="0" applyFont="1" applyBorder="1" applyAlignment="1">
      <alignment horizontal="left" vertical="center"/>
    </xf>
    <xf numFmtId="0" fontId="1" fillId="0" borderId="35" xfId="0" applyFont="1" applyBorder="1" applyAlignment="1">
      <alignment horizontal="left" vertical="center"/>
    </xf>
    <xf numFmtId="164" fontId="1" fillId="7" borderId="8" xfId="0" applyNumberFormat="1" applyFont="1" applyFill="1" applyBorder="1" applyAlignment="1">
      <alignment horizontal="center" vertical="center"/>
    </xf>
    <xf numFmtId="164" fontId="1" fillId="7" borderId="4" xfId="0" applyNumberFormat="1" applyFont="1" applyFill="1" applyBorder="1" applyAlignment="1">
      <alignment horizontal="center" vertical="center"/>
    </xf>
    <xf numFmtId="164" fontId="1" fillId="7" borderId="3" xfId="0" applyNumberFormat="1" applyFont="1" applyFill="1" applyBorder="1" applyAlignment="1">
      <alignment horizontal="center" vertical="center"/>
    </xf>
    <xf numFmtId="164" fontId="3" fillId="9" borderId="63" xfId="0" applyNumberFormat="1" applyFont="1" applyFill="1" applyBorder="1" applyAlignment="1">
      <alignment horizontal="left" vertical="center"/>
    </xf>
    <xf numFmtId="164" fontId="3" fillId="9" borderId="61" xfId="0" applyNumberFormat="1" applyFont="1" applyFill="1" applyBorder="1" applyAlignment="1">
      <alignment horizontal="left" vertical="center"/>
    </xf>
    <xf numFmtId="164" fontId="3" fillId="9" borderId="61" xfId="0" applyNumberFormat="1" applyFont="1" applyFill="1" applyBorder="1" applyAlignment="1">
      <alignment horizontal="left" vertical="center" wrapText="1"/>
    </xf>
    <xf numFmtId="164" fontId="3" fillId="9" borderId="62" xfId="0" applyNumberFormat="1" applyFont="1" applyFill="1" applyBorder="1" applyAlignment="1">
      <alignment horizontal="left" vertical="center"/>
    </xf>
    <xf numFmtId="164" fontId="3" fillId="9" borderId="0" xfId="0" applyNumberFormat="1" applyFont="1" applyFill="1" applyAlignment="1">
      <alignment horizontal="left" vertical="center"/>
    </xf>
    <xf numFmtId="164" fontId="3" fillId="9" borderId="69" xfId="0" applyNumberFormat="1" applyFont="1" applyFill="1" applyBorder="1" applyAlignment="1">
      <alignment horizontal="left" vertical="center"/>
    </xf>
    <xf numFmtId="0" fontId="1" fillId="0" borderId="76" xfId="0" applyFont="1" applyBorder="1" applyAlignment="1">
      <alignment horizontal="left" vertical="center"/>
    </xf>
    <xf numFmtId="0" fontId="0" fillId="0" borderId="28" xfId="0" applyBorder="1"/>
    <xf numFmtId="0" fontId="0" fillId="0" borderId="43" xfId="0" applyBorder="1"/>
    <xf numFmtId="0" fontId="0" fillId="0" borderId="29" xfId="0" applyBorder="1"/>
    <xf numFmtId="0" fontId="9" fillId="0" borderId="61" xfId="0" applyFont="1" applyBorder="1" applyAlignment="1">
      <alignment vertical="center" wrapText="1"/>
    </xf>
    <xf numFmtId="0" fontId="9" fillId="0" borderId="62" xfId="0" applyFont="1" applyBorder="1" applyAlignment="1">
      <alignment horizontal="center" vertical="center"/>
    </xf>
    <xf numFmtId="164" fontId="3" fillId="0" borderId="66" xfId="0" applyNumberFormat="1" applyFont="1" applyBorder="1" applyAlignment="1">
      <alignment horizontal="right" vertical="center"/>
    </xf>
    <xf numFmtId="164" fontId="3" fillId="0" borderId="0" xfId="0" applyNumberFormat="1" applyFont="1" applyAlignment="1">
      <alignment horizontal="right" vertical="center"/>
    </xf>
    <xf numFmtId="164" fontId="3" fillId="0" borderId="69" xfId="0" applyNumberFormat="1" applyFont="1" applyBorder="1" applyAlignment="1">
      <alignment horizontal="right" vertical="center"/>
    </xf>
    <xf numFmtId="0" fontId="1" fillId="0" borderId="75" xfId="0" applyFont="1" applyBorder="1" applyAlignment="1">
      <alignment horizontal="left" vertical="center"/>
    </xf>
    <xf numFmtId="0" fontId="0" fillId="0" borderId="66" xfId="0" applyBorder="1"/>
    <xf numFmtId="0" fontId="3" fillId="14" borderId="38" xfId="0" applyFont="1" applyFill="1" applyBorder="1" applyAlignment="1">
      <alignment horizontal="center" vertical="center"/>
    </xf>
    <xf numFmtId="0" fontId="3" fillId="14" borderId="41" xfId="0" applyFont="1" applyFill="1" applyBorder="1" applyAlignment="1">
      <alignment horizontal="center" vertical="center"/>
    </xf>
    <xf numFmtId="0" fontId="9" fillId="14" borderId="5" xfId="0" applyFont="1" applyFill="1" applyBorder="1" applyAlignment="1">
      <alignment horizontal="center" vertical="center"/>
    </xf>
    <xf numFmtId="0" fontId="3" fillId="14" borderId="1" xfId="0" applyFont="1" applyFill="1" applyBorder="1" applyAlignment="1">
      <alignment horizontal="center" vertical="center"/>
    </xf>
    <xf numFmtId="0" fontId="9" fillId="14" borderId="1" xfId="0" applyFont="1" applyFill="1" applyBorder="1" applyAlignment="1">
      <alignment horizontal="center" vertical="center"/>
    </xf>
    <xf numFmtId="0" fontId="3" fillId="14" borderId="4" xfId="0" applyFont="1" applyFill="1" applyBorder="1" applyAlignment="1">
      <alignment horizontal="center" vertical="center"/>
    </xf>
    <xf numFmtId="0" fontId="0" fillId="14" borderId="38" xfId="0" applyFill="1" applyBorder="1"/>
    <xf numFmtId="0" fontId="0" fillId="14" borderId="1" xfId="0" applyFill="1" applyBorder="1"/>
    <xf numFmtId="0" fontId="0" fillId="14" borderId="39" xfId="0" applyFill="1" applyBorder="1"/>
    <xf numFmtId="0" fontId="0" fillId="14" borderId="2" xfId="0" applyFill="1" applyBorder="1"/>
    <xf numFmtId="0" fontId="3" fillId="14" borderId="2" xfId="0" applyFont="1" applyFill="1" applyBorder="1" applyAlignment="1">
      <alignment horizontal="center" vertical="center"/>
    </xf>
    <xf numFmtId="0" fontId="3" fillId="14" borderId="3" xfId="0" applyFont="1" applyFill="1" applyBorder="1" applyAlignment="1">
      <alignment horizontal="center"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7" borderId="38"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9" xfId="0" applyFont="1" applyFill="1" applyBorder="1" applyAlignment="1">
      <alignment horizontal="center" vertical="center"/>
    </xf>
    <xf numFmtId="0" fontId="1" fillId="7" borderId="2" xfId="0" applyFont="1" applyFill="1" applyBorder="1" applyAlignment="1">
      <alignment horizontal="center" vertical="center"/>
    </xf>
    <xf numFmtId="166" fontId="1" fillId="8" borderId="39" xfId="0" applyNumberFormat="1" applyFont="1" applyFill="1" applyBorder="1" applyAlignment="1">
      <alignment horizontal="center" vertical="center"/>
    </xf>
    <xf numFmtId="2" fontId="1" fillId="8" borderId="50" xfId="0" applyNumberFormat="1" applyFont="1" applyFill="1" applyBorder="1" applyAlignment="1">
      <alignment horizontal="center" vertical="center"/>
    </xf>
    <xf numFmtId="0" fontId="0" fillId="0" borderId="65" xfId="0" applyBorder="1"/>
    <xf numFmtId="0" fontId="30" fillId="0" borderId="82" xfId="0" applyFont="1" applyBorder="1" applyAlignment="1">
      <alignment horizontal="center" vertical="center" wrapText="1"/>
    </xf>
    <xf numFmtId="0" fontId="0" fillId="0" borderId="82" xfId="0" applyBorder="1" applyAlignment="1">
      <alignment vertical="center" wrapText="1"/>
    </xf>
    <xf numFmtId="0" fontId="0" fillId="0" borderId="82" xfId="0" applyBorder="1" applyAlignment="1">
      <alignment horizontal="center" vertical="center" wrapText="1"/>
    </xf>
    <xf numFmtId="0" fontId="30" fillId="0" borderId="78" xfId="0" applyFont="1" applyBorder="1" applyAlignment="1">
      <alignment horizontal="center" vertical="center" wrapText="1"/>
    </xf>
    <xf numFmtId="0" fontId="30" fillId="0" borderId="81" xfId="0" applyFont="1" applyBorder="1" applyAlignment="1">
      <alignment horizontal="center" vertical="center" wrapText="1"/>
    </xf>
    <xf numFmtId="0" fontId="3" fillId="0" borderId="82" xfId="0" applyFont="1" applyBorder="1" applyAlignment="1">
      <alignment vertical="center"/>
    </xf>
    <xf numFmtId="0" fontId="30" fillId="0" borderId="78" xfId="0" applyFont="1" applyBorder="1" applyAlignment="1">
      <alignment vertical="center" wrapText="1"/>
    </xf>
    <xf numFmtId="0" fontId="30" fillId="0" borderId="81" xfId="0" applyFont="1" applyBorder="1" applyAlignment="1">
      <alignment vertical="center" wrapText="1"/>
    </xf>
    <xf numFmtId="0" fontId="29" fillId="6" borderId="41" xfId="0" applyFont="1" applyFill="1" applyBorder="1" applyAlignment="1">
      <alignment horizontal="center" vertical="center"/>
    </xf>
    <xf numFmtId="164" fontId="29" fillId="6" borderId="38" xfId="0" applyNumberFormat="1" applyFont="1" applyFill="1" applyBorder="1" applyAlignment="1">
      <alignment horizontal="center" vertical="center"/>
    </xf>
    <xf numFmtId="164" fontId="29" fillId="6" borderId="1" xfId="0" applyNumberFormat="1" applyFont="1" applyFill="1" applyBorder="1" applyAlignment="1">
      <alignment horizontal="center" vertical="center"/>
    </xf>
    <xf numFmtId="164" fontId="29" fillId="7" borderId="41" xfId="0" applyNumberFormat="1" applyFont="1" applyFill="1" applyBorder="1" applyAlignment="1">
      <alignment horizontal="center" vertical="center"/>
    </xf>
    <xf numFmtId="164" fontId="29" fillId="7" borderId="5" xfId="0" applyNumberFormat="1" applyFont="1" applyFill="1" applyBorder="1" applyAlignment="1">
      <alignment horizontal="center" vertical="center"/>
    </xf>
    <xf numFmtId="164" fontId="29" fillId="7" borderId="38" xfId="0" applyNumberFormat="1" applyFont="1" applyFill="1" applyBorder="1" applyAlignment="1">
      <alignment horizontal="center" vertical="center"/>
    </xf>
    <xf numFmtId="164" fontId="29" fillId="7" borderId="1" xfId="0" applyNumberFormat="1" applyFont="1" applyFill="1" applyBorder="1" applyAlignment="1">
      <alignment horizontal="center" vertical="center"/>
    </xf>
    <xf numFmtId="164" fontId="29" fillId="7" borderId="40" xfId="0" applyNumberFormat="1" applyFont="1" applyFill="1" applyBorder="1" applyAlignment="1">
      <alignment horizontal="center" vertical="center"/>
    </xf>
    <xf numFmtId="164" fontId="29" fillId="7" borderId="20" xfId="0" applyNumberFormat="1" applyFont="1" applyFill="1" applyBorder="1" applyAlignment="1">
      <alignment horizontal="center" vertical="center"/>
    </xf>
    <xf numFmtId="2" fontId="29" fillId="8" borderId="3" xfId="0" applyNumberFormat="1" applyFont="1" applyFill="1" applyBorder="1" applyAlignment="1">
      <alignment horizontal="center" vertical="center"/>
    </xf>
    <xf numFmtId="0" fontId="29" fillId="5" borderId="41" xfId="0" applyFont="1" applyFill="1" applyBorder="1" applyAlignment="1">
      <alignment horizontal="center" vertical="center"/>
    </xf>
    <xf numFmtId="0" fontId="25" fillId="10" borderId="40" xfId="0" applyFont="1" applyFill="1" applyBorder="1" applyAlignment="1">
      <alignment horizontal="center" vertical="center"/>
    </xf>
    <xf numFmtId="0" fontId="25" fillId="10" borderId="6" xfId="0" applyFont="1" applyFill="1" applyBorder="1" applyAlignment="1">
      <alignment horizontal="center" vertical="center"/>
    </xf>
    <xf numFmtId="0" fontId="25" fillId="10" borderId="14"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2" fontId="25" fillId="2" borderId="38" xfId="0" applyNumberFormat="1" applyFont="1" applyFill="1" applyBorder="1" applyAlignment="1">
      <alignment horizontal="center" vertical="center"/>
    </xf>
    <xf numFmtId="2" fontId="25" fillId="2" borderId="1" xfId="0" applyNumberFormat="1" applyFont="1" applyFill="1" applyBorder="1" applyAlignment="1">
      <alignment horizontal="center" vertical="center"/>
    </xf>
    <xf numFmtId="164" fontId="29" fillId="3" borderId="40" xfId="0" applyNumberFormat="1" applyFont="1" applyFill="1" applyBorder="1" applyAlignment="1">
      <alignment horizontal="center" vertical="center"/>
    </xf>
    <xf numFmtId="164" fontId="28" fillId="3" borderId="6" xfId="0" applyNumberFormat="1" applyFont="1" applyFill="1" applyBorder="1" applyAlignment="1">
      <alignment horizontal="center" vertical="center"/>
    </xf>
    <xf numFmtId="164" fontId="28" fillId="3" borderId="14" xfId="0" applyNumberFormat="1" applyFont="1" applyFill="1" applyBorder="1" applyAlignment="1">
      <alignment horizontal="center" vertical="center"/>
    </xf>
    <xf numFmtId="164" fontId="28" fillId="3" borderId="38" xfId="0" applyNumberFormat="1" applyFont="1" applyFill="1" applyBorder="1" applyAlignment="1">
      <alignment horizontal="center" vertical="center"/>
    </xf>
    <xf numFmtId="164" fontId="29" fillId="3" borderId="1" xfId="0" applyNumberFormat="1" applyFont="1" applyFill="1" applyBorder="1" applyAlignment="1">
      <alignment horizontal="center" vertical="center"/>
    </xf>
    <xf numFmtId="164" fontId="28" fillId="3" borderId="1" xfId="0" applyNumberFormat="1" applyFont="1" applyFill="1" applyBorder="1" applyAlignment="1">
      <alignment horizontal="center" vertical="center"/>
    </xf>
    <xf numFmtId="164" fontId="28" fillId="3" borderId="4" xfId="0" applyNumberFormat="1" applyFont="1" applyFill="1" applyBorder="1" applyAlignment="1">
      <alignment horizontal="center" vertical="center"/>
    </xf>
    <xf numFmtId="164" fontId="29" fillId="3" borderId="38" xfId="0" applyNumberFormat="1" applyFont="1" applyFill="1" applyBorder="1" applyAlignment="1">
      <alignment horizontal="center" vertical="center"/>
    </xf>
    <xf numFmtId="164" fontId="28" fillId="0" borderId="38" xfId="0" applyNumberFormat="1" applyFont="1" applyBorder="1" applyAlignment="1">
      <alignment horizontal="center" vertical="center"/>
    </xf>
    <xf numFmtId="164" fontId="28" fillId="0" borderId="1" xfId="0" applyNumberFormat="1" applyFont="1" applyBorder="1" applyAlignment="1">
      <alignment horizontal="center" vertical="center"/>
    </xf>
    <xf numFmtId="164" fontId="28" fillId="0" borderId="4" xfId="0" applyNumberFormat="1" applyFont="1" applyBorder="1" applyAlignment="1">
      <alignment horizontal="center" vertical="center"/>
    </xf>
    <xf numFmtId="164" fontId="29" fillId="0" borderId="38" xfId="0" applyNumberFormat="1" applyFont="1" applyBorder="1" applyAlignment="1">
      <alignment horizontal="center" vertical="center"/>
    </xf>
    <xf numFmtId="164" fontId="29" fillId="0" borderId="1" xfId="0" applyNumberFormat="1" applyFont="1" applyBorder="1" applyAlignment="1">
      <alignment horizontal="center" vertical="center"/>
    </xf>
    <xf numFmtId="164" fontId="29" fillId="3" borderId="4" xfId="0" applyNumberFormat="1" applyFont="1" applyFill="1" applyBorder="1" applyAlignment="1">
      <alignment horizontal="center" vertical="center"/>
    </xf>
    <xf numFmtId="0" fontId="29" fillId="8" borderId="41"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8" xfId="0" applyFont="1" applyFill="1" applyBorder="1" applyAlignment="1">
      <alignment horizontal="center" vertical="center"/>
    </xf>
    <xf numFmtId="0" fontId="29" fillId="8" borderId="39" xfId="0" applyFont="1" applyFill="1" applyBorder="1" applyAlignment="1">
      <alignment horizontal="center" vertical="center"/>
    </xf>
    <xf numFmtId="0" fontId="29" fillId="8" borderId="2" xfId="0" applyFont="1" applyFill="1" applyBorder="1" applyAlignment="1">
      <alignment horizontal="center" vertical="center"/>
    </xf>
    <xf numFmtId="164" fontId="29" fillId="8" borderId="2" xfId="0" applyNumberFormat="1" applyFont="1" applyFill="1" applyBorder="1" applyAlignment="1">
      <alignment horizontal="center" vertical="center"/>
    </xf>
    <xf numFmtId="0" fontId="29" fillId="5" borderId="5"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38" xfId="0" applyFont="1" applyFill="1" applyBorder="1" applyAlignment="1">
      <alignment horizontal="center" vertical="center"/>
    </xf>
    <xf numFmtId="0" fontId="29" fillId="5" borderId="1"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39" xfId="0" applyFont="1" applyFill="1" applyBorder="1" applyAlignment="1">
      <alignment horizontal="center" vertical="center"/>
    </xf>
    <xf numFmtId="0" fontId="29" fillId="5" borderId="2" xfId="0" applyFont="1" applyFill="1" applyBorder="1" applyAlignment="1">
      <alignment horizontal="center" vertical="center"/>
    </xf>
    <xf numFmtId="0" fontId="29" fillId="5" borderId="3" xfId="0" applyFont="1" applyFill="1" applyBorder="1" applyAlignment="1">
      <alignment horizontal="center" vertical="center"/>
    </xf>
    <xf numFmtId="166" fontId="29" fillId="6" borderId="38" xfId="0" applyNumberFormat="1" applyFont="1" applyFill="1" applyBorder="1" applyAlignment="1">
      <alignment horizontal="center" vertical="center"/>
    </xf>
    <xf numFmtId="164" fontId="25" fillId="6" borderId="1" xfId="0" applyNumberFormat="1" applyFont="1" applyFill="1" applyBorder="1" applyAlignment="1">
      <alignment horizontal="center" vertical="center"/>
    </xf>
    <xf numFmtId="164" fontId="25" fillId="6" borderId="4" xfId="0" applyNumberFormat="1" applyFont="1" applyFill="1" applyBorder="1" applyAlignment="1">
      <alignment horizontal="center" vertical="center"/>
    </xf>
    <xf numFmtId="165" fontId="25" fillId="6" borderId="2" xfId="0" applyNumberFormat="1" applyFont="1" applyFill="1" applyBorder="1" applyAlignment="1">
      <alignment horizontal="center" vertical="center"/>
    </xf>
    <xf numFmtId="165" fontId="29" fillId="6" borderId="3" xfId="0" applyNumberFormat="1" applyFont="1" applyFill="1" applyBorder="1" applyAlignment="1">
      <alignment horizontal="center" vertical="center"/>
    </xf>
    <xf numFmtId="0" fontId="21" fillId="14" borderId="41" xfId="0" applyFont="1" applyFill="1" applyBorder="1" applyAlignment="1">
      <alignment horizontal="center" vertical="center"/>
    </xf>
    <xf numFmtId="0" fontId="25" fillId="14" borderId="5" xfId="0" applyFont="1" applyFill="1" applyBorder="1" applyAlignment="1">
      <alignment horizontal="center" vertical="center"/>
    </xf>
    <xf numFmtId="0" fontId="25" fillId="14" borderId="8" xfId="0" applyFont="1" applyFill="1" applyBorder="1" applyAlignment="1">
      <alignment horizontal="center" vertical="center"/>
    </xf>
    <xf numFmtId="0" fontId="21" fillId="14" borderId="38" xfId="0" applyFont="1" applyFill="1" applyBorder="1" applyAlignment="1">
      <alignment horizontal="center" vertical="center"/>
    </xf>
    <xf numFmtId="0" fontId="21" fillId="14" borderId="1" xfId="0" applyFont="1" applyFill="1" applyBorder="1" applyAlignment="1">
      <alignment horizontal="center" vertical="center"/>
    </xf>
    <xf numFmtId="0" fontId="25" fillId="14" borderId="1" xfId="0" applyFont="1" applyFill="1" applyBorder="1" applyAlignment="1">
      <alignment horizontal="center" vertical="center"/>
    </xf>
    <xf numFmtId="0" fontId="21" fillId="14" borderId="4" xfId="0" applyFont="1" applyFill="1" applyBorder="1" applyAlignment="1">
      <alignment horizontal="center" vertical="center"/>
    </xf>
    <xf numFmtId="0" fontId="21" fillId="14" borderId="38" xfId="0" applyFont="1" applyFill="1" applyBorder="1"/>
    <xf numFmtId="0" fontId="21" fillId="14" borderId="1" xfId="0" applyFont="1" applyFill="1" applyBorder="1"/>
    <xf numFmtId="0" fontId="21" fillId="14" borderId="39" xfId="0" applyFont="1" applyFill="1" applyBorder="1"/>
    <xf numFmtId="0" fontId="21" fillId="14" borderId="2" xfId="0" applyFont="1" applyFill="1" applyBorder="1"/>
    <xf numFmtId="0" fontId="21" fillId="14" borderId="2" xfId="0" applyFont="1" applyFill="1" applyBorder="1" applyAlignment="1">
      <alignment horizontal="center" vertical="center"/>
    </xf>
    <xf numFmtId="0" fontId="21" fillId="14" borderId="3" xfId="0" applyFont="1" applyFill="1" applyBorder="1" applyAlignment="1">
      <alignment horizontal="center" vertical="center"/>
    </xf>
    <xf numFmtId="0" fontId="29" fillId="7" borderId="4" xfId="0" applyFont="1" applyFill="1" applyBorder="1" applyAlignment="1">
      <alignment horizontal="center" vertical="center"/>
    </xf>
    <xf numFmtId="0" fontId="29" fillId="0" borderId="0" xfId="0" applyFont="1" applyAlignment="1">
      <alignment vertical="center"/>
    </xf>
    <xf numFmtId="0" fontId="3" fillId="0" borderId="82" xfId="0" applyFont="1" applyBorder="1" applyAlignment="1">
      <alignment horizontal="center" vertical="center" wrapText="1"/>
    </xf>
    <xf numFmtId="10" fontId="25" fillId="10" borderId="0" xfId="0" applyNumberFormat="1" applyFont="1" applyFill="1" applyAlignment="1">
      <alignment horizontal="center" vertical="center"/>
    </xf>
    <xf numFmtId="10" fontId="25" fillId="2" borderId="0" xfId="0" applyNumberFormat="1" applyFont="1" applyFill="1" applyAlignment="1">
      <alignment horizontal="center" vertical="center"/>
    </xf>
    <xf numFmtId="10" fontId="1" fillId="2" borderId="0" xfId="0" applyNumberFormat="1" applyFont="1" applyFill="1" applyAlignment="1">
      <alignment horizontal="center" vertical="center"/>
    </xf>
    <xf numFmtId="10" fontId="0" fillId="0" borderId="0" xfId="0" applyNumberFormat="1" applyAlignment="1">
      <alignment horizontal="right" vertical="center"/>
    </xf>
    <xf numFmtId="164" fontId="9" fillId="15" borderId="20" xfId="0" applyNumberFormat="1" applyFont="1" applyFill="1" applyBorder="1" applyAlignment="1">
      <alignment horizontal="center" vertical="center"/>
    </xf>
    <xf numFmtId="10" fontId="0" fillId="0" borderId="0" xfId="0" applyNumberFormat="1"/>
    <xf numFmtId="0" fontId="1" fillId="11" borderId="18" xfId="0" applyFont="1" applyFill="1" applyBorder="1" applyAlignment="1">
      <alignment horizontal="center" vertical="center"/>
    </xf>
    <xf numFmtId="10" fontId="1" fillId="11" borderId="0" xfId="0" applyNumberFormat="1" applyFont="1" applyFill="1" applyAlignment="1">
      <alignment horizontal="center" vertical="center"/>
    </xf>
    <xf numFmtId="0" fontId="1" fillId="12" borderId="18" xfId="0" applyFont="1" applyFill="1" applyBorder="1" applyAlignment="1">
      <alignment horizontal="center" vertical="center"/>
    </xf>
    <xf numFmtId="10" fontId="1" fillId="12" borderId="0" xfId="0" applyNumberFormat="1" applyFont="1" applyFill="1" applyAlignment="1">
      <alignment horizontal="center" vertical="center"/>
    </xf>
    <xf numFmtId="10" fontId="1" fillId="14" borderId="0" xfId="0" applyNumberFormat="1" applyFont="1" applyFill="1" applyAlignment="1">
      <alignment horizontal="center" vertical="center"/>
    </xf>
    <xf numFmtId="0" fontId="1" fillId="13" borderId="18" xfId="0" applyFont="1" applyFill="1" applyBorder="1" applyAlignment="1">
      <alignment horizontal="center" vertical="center"/>
    </xf>
    <xf numFmtId="10" fontId="1" fillId="13" borderId="0" xfId="0" applyNumberFormat="1" applyFont="1" applyFill="1" applyAlignment="1">
      <alignment horizontal="center" vertical="center"/>
    </xf>
    <xf numFmtId="164" fontId="1" fillId="15" borderId="18" xfId="0" applyNumberFormat="1" applyFont="1" applyFill="1" applyBorder="1" applyAlignment="1">
      <alignment horizontal="center" vertical="center"/>
    </xf>
    <xf numFmtId="10" fontId="1" fillId="15" borderId="0" xfId="0" applyNumberFormat="1" applyFont="1" applyFill="1" applyAlignment="1">
      <alignment horizontal="center" vertical="center"/>
    </xf>
    <xf numFmtId="10" fontId="9" fillId="2" borderId="0" xfId="0" applyNumberFormat="1" applyFont="1" applyFill="1" applyAlignment="1">
      <alignment horizontal="center" vertical="center"/>
    </xf>
    <xf numFmtId="10" fontId="28" fillId="3" borderId="0" xfId="0" applyNumberFormat="1" applyFont="1" applyFill="1" applyAlignment="1">
      <alignment horizontal="center" vertical="center"/>
    </xf>
    <xf numFmtId="10" fontId="28" fillId="0" borderId="0" xfId="0" applyNumberFormat="1" applyFont="1" applyAlignment="1">
      <alignment horizontal="center" vertical="center"/>
    </xf>
    <xf numFmtId="10" fontId="29" fillId="3" borderId="0" xfId="0" applyNumberFormat="1" applyFont="1" applyFill="1" applyAlignment="1">
      <alignment horizontal="center" vertical="center"/>
    </xf>
    <xf numFmtId="10" fontId="5" fillId="0" borderId="0" xfId="0" applyNumberFormat="1" applyFont="1" applyAlignment="1">
      <alignment horizontal="center" vertical="center"/>
    </xf>
    <xf numFmtId="10" fontId="29" fillId="8" borderId="0" xfId="0" applyNumberFormat="1" applyFont="1" applyFill="1" applyAlignment="1">
      <alignment horizontal="center" vertical="center"/>
    </xf>
    <xf numFmtId="10" fontId="29" fillId="5" borderId="0" xfId="0" applyNumberFormat="1" applyFont="1" applyFill="1" applyAlignment="1">
      <alignment horizontal="center" vertical="center"/>
    </xf>
    <xf numFmtId="10" fontId="0" fillId="15" borderId="0" xfId="0" applyNumberFormat="1" applyFill="1"/>
    <xf numFmtId="10" fontId="9" fillId="6" borderId="0" xfId="0" applyNumberFormat="1" applyFont="1" applyFill="1" applyAlignment="1">
      <alignment horizontal="center" vertical="center"/>
    </xf>
    <xf numFmtId="10" fontId="25" fillId="6" borderId="0" xfId="0" applyNumberFormat="1" applyFont="1" applyFill="1" applyAlignment="1">
      <alignment horizontal="center" vertical="center"/>
    </xf>
    <xf numFmtId="10" fontId="29" fillId="6" borderId="0" xfId="0" applyNumberFormat="1" applyFont="1" applyFill="1" applyAlignment="1">
      <alignment horizontal="center" vertical="center"/>
    </xf>
    <xf numFmtId="10" fontId="25" fillId="14" borderId="0" xfId="0" applyNumberFormat="1" applyFont="1" applyFill="1" applyAlignment="1">
      <alignment horizontal="center" vertical="center"/>
    </xf>
    <xf numFmtId="10" fontId="21" fillId="14" borderId="0" xfId="0" applyNumberFormat="1" applyFont="1" applyFill="1" applyAlignment="1">
      <alignment horizontal="center" vertical="center"/>
    </xf>
    <xf numFmtId="0" fontId="30" fillId="0" borderId="80" xfId="0" applyFont="1" applyBorder="1" applyAlignment="1">
      <alignment horizontal="center" vertical="center" wrapText="1"/>
    </xf>
    <xf numFmtId="0" fontId="1" fillId="0" borderId="4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0" xfId="0" applyFont="1" applyBorder="1" applyAlignment="1">
      <alignment horizontal="center" vertical="center"/>
    </xf>
    <xf numFmtId="0" fontId="4" fillId="0" borderId="4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5" xfId="0" applyFont="1" applyBorder="1" applyAlignment="1">
      <alignment horizontal="center" vertical="center"/>
    </xf>
    <xf numFmtId="0" fontId="1" fillId="0" borderId="28" xfId="0" applyFont="1" applyBorder="1" applyAlignment="1">
      <alignment horizontal="center" vertical="center"/>
    </xf>
    <xf numFmtId="0" fontId="15" fillId="0" borderId="69" xfId="0" applyFont="1" applyBorder="1" applyAlignment="1">
      <alignment horizontal="center" vertical="center"/>
    </xf>
    <xf numFmtId="0" fontId="5" fillId="0" borderId="46" xfId="0" applyFont="1" applyBorder="1" applyAlignment="1">
      <alignment horizontal="center" vertical="center"/>
    </xf>
    <xf numFmtId="0" fontId="5" fillId="0" borderId="67" xfId="0" applyFont="1" applyBorder="1" applyAlignment="1">
      <alignment horizontal="center" vertical="center"/>
    </xf>
    <xf numFmtId="0" fontId="1" fillId="6" borderId="10" xfId="0" applyFont="1" applyFill="1" applyBorder="1" applyAlignment="1">
      <alignment horizontal="center" vertical="center"/>
    </xf>
    <xf numFmtId="0" fontId="1" fillId="6" borderId="11" xfId="0" applyFont="1" applyFill="1" applyBorder="1" applyAlignment="1">
      <alignment horizontal="center" vertical="center"/>
    </xf>
    <xf numFmtId="0" fontId="1" fillId="6" borderId="30" xfId="0" applyFont="1" applyFill="1" applyBorder="1" applyAlignment="1">
      <alignment horizontal="center" vertical="center"/>
    </xf>
    <xf numFmtId="2" fontId="5" fillId="9" borderId="46" xfId="0" applyNumberFormat="1" applyFont="1" applyFill="1" applyBorder="1" applyAlignment="1">
      <alignment horizontal="center" vertical="center"/>
    </xf>
    <xf numFmtId="2" fontId="5" fillId="9" borderId="67" xfId="0" applyNumberFormat="1" applyFont="1" applyFill="1" applyBorder="1" applyAlignment="1">
      <alignment horizontal="center" vertical="center"/>
    </xf>
    <xf numFmtId="0" fontId="1" fillId="5" borderId="47" xfId="0" applyFont="1" applyFill="1" applyBorder="1" applyAlignment="1">
      <alignment horizontal="center" vertical="center"/>
    </xf>
    <xf numFmtId="0" fontId="1" fillId="5" borderId="74"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30" xfId="0" applyFont="1" applyFill="1" applyBorder="1" applyAlignment="1">
      <alignment horizontal="center" vertical="center"/>
    </xf>
    <xf numFmtId="0" fontId="1" fillId="6" borderId="47" xfId="0" applyFont="1" applyFill="1" applyBorder="1" applyAlignment="1">
      <alignment horizontal="center" vertical="center"/>
    </xf>
    <xf numFmtId="0" fontId="1" fillId="6" borderId="73" xfId="0" applyFont="1" applyFill="1" applyBorder="1" applyAlignment="1">
      <alignment horizontal="center" vertical="center"/>
    </xf>
    <xf numFmtId="0" fontId="1" fillId="6" borderId="74" xfId="0" applyFont="1" applyFill="1" applyBorder="1" applyAlignment="1">
      <alignment horizontal="center" vertical="center"/>
    </xf>
    <xf numFmtId="2" fontId="1" fillId="0" borderId="47" xfId="0" applyNumberFormat="1" applyFont="1" applyBorder="1" applyAlignment="1">
      <alignment horizontal="center" vertical="center"/>
    </xf>
    <xf numFmtId="2" fontId="1" fillId="0" borderId="74" xfId="0" applyNumberFormat="1" applyFont="1" applyBorder="1" applyAlignment="1">
      <alignment horizontal="center" vertical="center"/>
    </xf>
    <xf numFmtId="0" fontId="1" fillId="0" borderId="47"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9" borderId="47" xfId="0" applyFont="1" applyFill="1" applyBorder="1" applyAlignment="1">
      <alignment horizontal="center" vertical="center"/>
    </xf>
    <xf numFmtId="0" fontId="1" fillId="9" borderId="74" xfId="0" applyFont="1" applyFill="1" applyBorder="1" applyAlignment="1">
      <alignment horizontal="center" vertical="center"/>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2" fontId="3" fillId="2" borderId="34" xfId="0" applyNumberFormat="1" applyFont="1" applyFill="1" applyBorder="1" applyAlignment="1">
      <alignment horizontal="center" vertical="center"/>
    </xf>
    <xf numFmtId="2" fontId="3" fillId="2" borderId="62" xfId="0" applyNumberFormat="1" applyFont="1" applyFill="1" applyBorder="1" applyAlignment="1">
      <alignment horizontal="center" vertical="center"/>
    </xf>
    <xf numFmtId="2" fontId="3" fillId="2" borderId="36" xfId="0" applyNumberFormat="1" applyFont="1" applyFill="1" applyBorder="1" applyAlignment="1">
      <alignment horizontal="center" vertical="center"/>
    </xf>
    <xf numFmtId="2" fontId="3" fillId="2" borderId="29" xfId="0" applyNumberFormat="1" applyFont="1" applyFill="1" applyBorder="1" applyAlignment="1">
      <alignment horizontal="center" vertical="center"/>
    </xf>
    <xf numFmtId="2" fontId="3" fillId="2" borderId="69" xfId="0" applyNumberFormat="1" applyFont="1" applyFill="1" applyBorder="1" applyAlignment="1">
      <alignment horizontal="center" vertical="center"/>
    </xf>
    <xf numFmtId="2" fontId="3" fillId="2" borderId="45" xfId="0" applyNumberFormat="1" applyFont="1" applyFill="1" applyBorder="1" applyAlignment="1">
      <alignment horizontal="center" vertical="center"/>
    </xf>
    <xf numFmtId="2" fontId="21" fillId="2" borderId="68" xfId="0" applyNumberFormat="1" applyFont="1" applyFill="1" applyBorder="1" applyAlignment="1">
      <alignment horizontal="center" vertical="center"/>
    </xf>
    <xf numFmtId="2" fontId="21" fillId="2" borderId="40" xfId="0" applyNumberFormat="1" applyFont="1" applyFill="1" applyBorder="1" applyAlignment="1">
      <alignment horizontal="center" vertical="center"/>
    </xf>
    <xf numFmtId="2" fontId="3" fillId="2" borderId="17" xfId="0" applyNumberFormat="1" applyFont="1" applyFill="1" applyBorder="1" applyAlignment="1">
      <alignment horizontal="center" vertical="center"/>
    </xf>
    <xf numFmtId="2" fontId="3" fillId="2" borderId="6" xfId="0" applyNumberFormat="1" applyFont="1" applyFill="1" applyBorder="1" applyAlignment="1">
      <alignment horizontal="center" vertical="center"/>
    </xf>
    <xf numFmtId="2" fontId="3" fillId="2" borderId="73" xfId="0" applyNumberFormat="1" applyFont="1" applyFill="1" applyBorder="1" applyAlignment="1">
      <alignment horizontal="center" vertical="center"/>
    </xf>
    <xf numFmtId="2" fontId="3" fillId="2" borderId="14" xfId="0" applyNumberFormat="1" applyFont="1" applyFill="1" applyBorder="1" applyAlignment="1">
      <alignment horizontal="center" vertical="center"/>
    </xf>
    <xf numFmtId="2" fontId="3" fillId="2" borderId="55" xfId="0" applyNumberFormat="1" applyFont="1" applyFill="1" applyBorder="1" applyAlignment="1">
      <alignment horizontal="center" vertical="center"/>
    </xf>
    <xf numFmtId="2" fontId="3" fillId="2" borderId="40" xfId="0" applyNumberFormat="1" applyFont="1" applyFill="1" applyBorder="1" applyAlignment="1">
      <alignment horizontal="center" vertical="center"/>
    </xf>
    <xf numFmtId="2" fontId="3" fillId="2" borderId="53" xfId="0" applyNumberFormat="1" applyFont="1" applyFill="1" applyBorder="1" applyAlignment="1">
      <alignment horizontal="center" vertical="center"/>
    </xf>
    <xf numFmtId="2" fontId="3" fillId="2" borderId="56" xfId="0" applyNumberFormat="1" applyFont="1" applyFill="1" applyBorder="1" applyAlignment="1">
      <alignment horizontal="center" vertical="center"/>
    </xf>
    <xf numFmtId="2" fontId="3" fillId="2" borderId="68"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44" xfId="0" applyFont="1" applyBorder="1" applyAlignment="1">
      <alignment horizontal="center" vertical="center"/>
    </xf>
    <xf numFmtId="0" fontId="15" fillId="0" borderId="69" xfId="0" applyFont="1" applyBorder="1" applyAlignment="1">
      <alignment horizontal="left" vertical="center"/>
    </xf>
    <xf numFmtId="0" fontId="5" fillId="10" borderId="34" xfId="0" applyFont="1" applyFill="1" applyBorder="1" applyAlignment="1">
      <alignment horizontal="left" vertical="center"/>
    </xf>
    <xf numFmtId="0" fontId="5" fillId="10" borderId="28" xfId="0" applyFont="1" applyFill="1" applyBorder="1" applyAlignment="1">
      <alignment horizontal="left" vertical="center"/>
    </xf>
    <xf numFmtId="0" fontId="5" fillId="10" borderId="29" xfId="0" applyFont="1" applyFill="1" applyBorder="1" applyAlignment="1">
      <alignment horizontal="left" vertical="center"/>
    </xf>
    <xf numFmtId="0" fontId="9" fillId="10" borderId="61" xfId="0" applyFont="1" applyFill="1" applyBorder="1" applyAlignment="1">
      <alignment horizontal="left" vertical="center" wrapText="1"/>
    </xf>
    <xf numFmtId="0" fontId="9" fillId="10" borderId="70"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164" fontId="3" fillId="9" borderId="53" xfId="0" applyNumberFormat="1" applyFont="1" applyFill="1" applyBorder="1" applyAlignment="1">
      <alignment horizontal="left" vertical="center"/>
    </xf>
    <xf numFmtId="164" fontId="3" fillId="9" borderId="9" xfId="0" applyNumberFormat="1" applyFont="1" applyFill="1" applyBorder="1" applyAlignment="1">
      <alignment horizontal="left" vertical="center"/>
    </xf>
    <xf numFmtId="164" fontId="3" fillId="9" borderId="16" xfId="0" applyNumberFormat="1" applyFont="1" applyFill="1" applyBorder="1" applyAlignment="1">
      <alignment horizontal="left" vertic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3" fillId="0" borderId="11" xfId="0" applyFont="1" applyBorder="1" applyAlignment="1">
      <alignment horizontal="right" vertical="center" wrapText="1"/>
    </xf>
    <xf numFmtId="0" fontId="1" fillId="0" borderId="0" xfId="0" applyFont="1" applyAlignment="1">
      <alignment horizontal="center" vertical="center"/>
    </xf>
    <xf numFmtId="0" fontId="1" fillId="0" borderId="83" xfId="0" applyFont="1" applyBorder="1" applyAlignment="1">
      <alignment horizontal="center" vertical="center"/>
    </xf>
    <xf numFmtId="164" fontId="3" fillId="9" borderId="54" xfId="0" applyNumberFormat="1" applyFont="1" applyFill="1" applyBorder="1" applyAlignment="1">
      <alignment horizontal="left" vertical="center"/>
    </xf>
    <xf numFmtId="164" fontId="3" fillId="9" borderId="71" xfId="0" applyNumberFormat="1" applyFont="1" applyFill="1" applyBorder="1" applyAlignment="1">
      <alignment horizontal="left" vertical="center"/>
    </xf>
    <xf numFmtId="164" fontId="3" fillId="9" borderId="65" xfId="0" applyNumberFormat="1" applyFont="1" applyFill="1" applyBorder="1" applyAlignment="1">
      <alignment horizontal="left" vertical="center"/>
    </xf>
    <xf numFmtId="0" fontId="7" fillId="0" borderId="46" xfId="0" applyFont="1" applyBorder="1" applyAlignment="1">
      <alignment horizontal="center" vertical="center" wrapText="1"/>
    </xf>
    <xf numFmtId="0" fontId="7" fillId="0" borderId="67" xfId="0" applyFont="1" applyBorder="1" applyAlignment="1">
      <alignment horizontal="center" vertical="center" wrapText="1"/>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29" xfId="0" applyFont="1" applyBorder="1" applyAlignment="1">
      <alignment horizontal="center" vertical="center"/>
    </xf>
    <xf numFmtId="0" fontId="1" fillId="0" borderId="45"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8" xfId="0" applyFont="1" applyBorder="1" applyAlignment="1">
      <alignment horizontal="center" vertical="center"/>
    </xf>
    <xf numFmtId="0" fontId="5" fillId="0" borderId="40" xfId="0" applyFont="1" applyBorder="1" applyAlignment="1">
      <alignment horizontal="center" vertical="center"/>
    </xf>
    <xf numFmtId="0" fontId="9" fillId="0" borderId="31"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center" vertical="center" wrapText="1"/>
    </xf>
    <xf numFmtId="0" fontId="9" fillId="0" borderId="38" xfId="0" applyFont="1" applyBorder="1" applyAlignment="1">
      <alignment horizontal="center" vertical="center"/>
    </xf>
    <xf numFmtId="0" fontId="9" fillId="0" borderId="55" xfId="0" applyFont="1" applyBorder="1" applyAlignment="1">
      <alignment horizontal="center" vertical="center"/>
    </xf>
    <xf numFmtId="0" fontId="9" fillId="0" borderId="39" xfId="0" applyFont="1" applyBorder="1" applyAlignment="1">
      <alignment horizontal="center" vertical="center"/>
    </xf>
    <xf numFmtId="0" fontId="9" fillId="10" borderId="26" xfId="0" applyFont="1" applyFill="1" applyBorder="1" applyAlignment="1">
      <alignment horizontal="left" vertical="center" wrapText="1"/>
    </xf>
    <xf numFmtId="0" fontId="9" fillId="10" borderId="72" xfId="0" applyFont="1" applyFill="1" applyBorder="1" applyAlignment="1">
      <alignment horizontal="left" vertical="center" wrapText="1"/>
    </xf>
    <xf numFmtId="0" fontId="5" fillId="0" borderId="55" xfId="0" applyFont="1" applyBorder="1" applyAlignment="1">
      <alignment horizontal="center" vertical="center"/>
    </xf>
    <xf numFmtId="0" fontId="9" fillId="10" borderId="32"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5" xfId="0" applyFont="1" applyBorder="1" applyAlignment="1">
      <alignment horizontal="left" vertical="center"/>
    </xf>
    <xf numFmtId="0" fontId="9" fillId="0" borderId="36" xfId="0" applyFont="1" applyBorder="1" applyAlignment="1">
      <alignment horizontal="center" vertical="center"/>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26" fillId="0" borderId="34"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5" xfId="0" applyFont="1" applyBorder="1" applyAlignment="1">
      <alignment horizontal="center" vertical="center" wrapText="1"/>
    </xf>
    <xf numFmtId="0" fontId="9" fillId="0" borderId="56"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3" fillId="9" borderId="10" xfId="0" applyFont="1" applyFill="1" applyBorder="1" applyAlignment="1">
      <alignment horizontal="right" vertical="center" wrapText="1"/>
    </xf>
    <xf numFmtId="0" fontId="3" fillId="9" borderId="11" xfId="0" applyFont="1" applyFill="1" applyBorder="1" applyAlignment="1">
      <alignment horizontal="right" vertical="center" wrapText="1"/>
    </xf>
    <xf numFmtId="0" fontId="3" fillId="9" borderId="30" xfId="0" applyFont="1" applyFill="1" applyBorder="1" applyAlignment="1">
      <alignment horizontal="right" vertical="center" wrapText="1"/>
    </xf>
    <xf numFmtId="0" fontId="10" fillId="0" borderId="54" xfId="0" applyFont="1" applyBorder="1" applyAlignment="1">
      <alignment horizontal="left" vertical="center" wrapText="1"/>
    </xf>
    <xf numFmtId="0" fontId="10" fillId="0" borderId="36" xfId="0" applyFont="1" applyBorder="1" applyAlignment="1">
      <alignment horizontal="left" vertical="center" wrapText="1"/>
    </xf>
    <xf numFmtId="0" fontId="10" fillId="0" borderId="71" xfId="0" applyFont="1" applyBorder="1" applyAlignment="1">
      <alignment horizontal="left" vertical="center" wrapText="1"/>
    </xf>
    <xf numFmtId="0" fontId="10" fillId="0" borderId="43" xfId="0" applyFont="1" applyBorder="1" applyAlignment="1">
      <alignment horizontal="left" vertical="center" wrapText="1"/>
    </xf>
    <xf numFmtId="0" fontId="10" fillId="0" borderId="21" xfId="0" applyFont="1" applyBorder="1" applyAlignment="1">
      <alignment horizontal="left" vertical="center" wrapText="1"/>
    </xf>
    <xf numFmtId="0" fontId="10" fillId="0" borderId="37" xfId="0" applyFont="1" applyBorder="1" applyAlignment="1">
      <alignment horizontal="left" vertical="center" wrapText="1"/>
    </xf>
    <xf numFmtId="164" fontId="1" fillId="2" borderId="75" xfId="0" applyNumberFormat="1" applyFont="1" applyFill="1" applyBorder="1" applyAlignment="1">
      <alignment horizontal="center" vertical="center"/>
    </xf>
    <xf numFmtId="164" fontId="1" fillId="2" borderId="30" xfId="0" applyNumberFormat="1" applyFont="1" applyFill="1" applyBorder="1" applyAlignment="1">
      <alignment horizontal="center" vertical="center"/>
    </xf>
    <xf numFmtId="164" fontId="9" fillId="0" borderId="75" xfId="0" applyNumberFormat="1" applyFont="1" applyBorder="1" applyAlignment="1">
      <alignment horizontal="center" vertical="center"/>
    </xf>
    <xf numFmtId="164" fontId="9" fillId="0" borderId="11" xfId="0" applyNumberFormat="1" applyFont="1" applyBorder="1" applyAlignment="1">
      <alignment horizontal="center" vertical="center"/>
    </xf>
    <xf numFmtId="164" fontId="9" fillId="0" borderId="30" xfId="0" applyNumberFormat="1" applyFont="1" applyBorder="1" applyAlignment="1">
      <alignment horizontal="center" vertical="center"/>
    </xf>
    <xf numFmtId="164" fontId="1" fillId="2" borderId="55"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3" fillId="10" borderId="10" xfId="0" applyNumberFormat="1" applyFont="1" applyFill="1" applyBorder="1" applyAlignment="1">
      <alignment horizontal="center" vertical="center"/>
    </xf>
    <xf numFmtId="164" fontId="3" fillId="10" borderId="76" xfId="0" applyNumberFormat="1" applyFont="1" applyFill="1" applyBorder="1" applyAlignment="1">
      <alignment horizontal="center" vertical="center"/>
    </xf>
    <xf numFmtId="164" fontId="1" fillId="10" borderId="10" xfId="0" applyNumberFormat="1" applyFont="1" applyFill="1" applyBorder="1" applyAlignment="1">
      <alignment horizontal="center" vertical="center"/>
    </xf>
    <xf numFmtId="164" fontId="1" fillId="10" borderId="76" xfId="0" applyNumberFormat="1" applyFont="1" applyFill="1" applyBorder="1" applyAlignment="1">
      <alignment horizontal="center" vertical="center"/>
    </xf>
    <xf numFmtId="164" fontId="1" fillId="10" borderId="46" xfId="0" applyNumberFormat="1" applyFont="1" applyFill="1" applyBorder="1" applyAlignment="1">
      <alignment horizontal="center" vertical="center"/>
    </xf>
    <xf numFmtId="164" fontId="1" fillId="10" borderId="40" xfId="0" applyNumberFormat="1" applyFont="1" applyFill="1" applyBorder="1" applyAlignment="1">
      <alignment horizontal="center" vertical="center"/>
    </xf>
    <xf numFmtId="164" fontId="9" fillId="3" borderId="75" xfId="0" applyNumberFormat="1" applyFont="1" applyFill="1" applyBorder="1" applyAlignment="1">
      <alignment horizontal="center" vertical="center"/>
    </xf>
    <xf numFmtId="164" fontId="9" fillId="3" borderId="11" xfId="0" applyNumberFormat="1" applyFont="1" applyFill="1" applyBorder="1" applyAlignment="1">
      <alignment horizontal="center" vertical="center"/>
    </xf>
    <xf numFmtId="164" fontId="9" fillId="3" borderId="30" xfId="0" applyNumberFormat="1" applyFont="1" applyFill="1" applyBorder="1" applyAlignment="1">
      <alignment horizontal="center" vertical="center"/>
    </xf>
    <xf numFmtId="164" fontId="3" fillId="2" borderId="75" xfId="0" applyNumberFormat="1" applyFont="1" applyFill="1" applyBorder="1" applyAlignment="1">
      <alignment horizontal="center" vertical="center"/>
    </xf>
    <xf numFmtId="164" fontId="3" fillId="2" borderId="30" xfId="0" applyNumberFormat="1" applyFont="1" applyFill="1" applyBorder="1" applyAlignment="1">
      <alignment horizontal="center" vertical="center"/>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10" fillId="0" borderId="11" xfId="0" applyFont="1" applyBorder="1" applyAlignment="1">
      <alignment horizontal="left" vertical="center" wrapText="1"/>
    </xf>
    <xf numFmtId="164" fontId="9" fillId="3" borderId="53" xfId="0" applyNumberFormat="1" applyFont="1" applyFill="1" applyBorder="1" applyAlignment="1">
      <alignment horizontal="center" vertical="center"/>
    </xf>
    <xf numFmtId="164" fontId="9" fillId="3" borderId="9" xfId="0" applyNumberFormat="1" applyFont="1" applyFill="1" applyBorder="1" applyAlignment="1">
      <alignment horizontal="center" vertical="center"/>
    </xf>
    <xf numFmtId="164" fontId="9" fillId="3" borderId="16" xfId="0" applyNumberFormat="1" applyFont="1" applyFill="1" applyBorder="1" applyAlignment="1">
      <alignment horizontal="center" vertical="center"/>
    </xf>
    <xf numFmtId="2" fontId="3" fillId="2" borderId="16" xfId="0" applyNumberFormat="1" applyFont="1" applyFill="1" applyBorder="1" applyAlignment="1">
      <alignment horizontal="center" vertical="center"/>
    </xf>
    <xf numFmtId="2" fontId="9" fillId="2" borderId="56" xfId="0" applyNumberFormat="1" applyFont="1" applyFill="1" applyBorder="1" applyAlignment="1">
      <alignment horizontal="center" vertical="center"/>
    </xf>
    <xf numFmtId="2" fontId="9" fillId="2" borderId="74" xfId="0" applyNumberFormat="1" applyFont="1" applyFill="1" applyBorder="1" applyAlignment="1">
      <alignment horizontal="center" vertical="center"/>
    </xf>
    <xf numFmtId="164" fontId="9" fillId="3" borderId="56" xfId="0" applyNumberFormat="1" applyFont="1" applyFill="1" applyBorder="1" applyAlignment="1">
      <alignment horizontal="center" vertical="center"/>
    </xf>
    <xf numFmtId="164" fontId="9" fillId="3" borderId="73" xfId="0" applyNumberFormat="1" applyFont="1" applyFill="1" applyBorder="1" applyAlignment="1">
      <alignment horizontal="center" vertical="center"/>
    </xf>
    <xf numFmtId="164" fontId="9" fillId="3" borderId="74" xfId="0" applyNumberFormat="1"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73" xfId="0" applyFont="1" applyFill="1" applyBorder="1" applyAlignment="1">
      <alignment horizontal="center" vertical="center"/>
    </xf>
    <xf numFmtId="0" fontId="9" fillId="10" borderId="14" xfId="0" applyFont="1" applyFill="1" applyBorder="1" applyAlignment="1">
      <alignment horizontal="center" vertical="center"/>
    </xf>
    <xf numFmtId="0" fontId="1" fillId="0" borderId="41"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164" fontId="3" fillId="10" borderId="46" xfId="0" applyNumberFormat="1" applyFont="1" applyFill="1" applyBorder="1" applyAlignment="1">
      <alignment horizontal="center" vertical="center"/>
    </xf>
    <xf numFmtId="164" fontId="3" fillId="10" borderId="40" xfId="0" applyNumberFormat="1" applyFont="1" applyFill="1" applyBorder="1" applyAlignment="1">
      <alignment horizontal="center" vertical="center"/>
    </xf>
    <xf numFmtId="164" fontId="3" fillId="2" borderId="55" xfId="0" applyNumberFormat="1" applyFont="1" applyFill="1" applyBorder="1" applyAlignment="1">
      <alignment horizontal="center" vertical="center"/>
    </xf>
    <xf numFmtId="164" fontId="3" fillId="2" borderId="67" xfId="0" applyNumberFormat="1" applyFont="1" applyFill="1" applyBorder="1" applyAlignment="1">
      <alignment horizontal="center" vertical="center"/>
    </xf>
    <xf numFmtId="0" fontId="6" fillId="14" borderId="18"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14" borderId="10"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30" xfId="0" applyFont="1" applyFill="1" applyBorder="1" applyAlignment="1">
      <alignment horizontal="center" vertical="center" wrapText="1"/>
    </xf>
    <xf numFmtId="0" fontId="23" fillId="0" borderId="0" xfId="0" applyFont="1" applyAlignment="1">
      <alignment horizontal="center" vertical="center"/>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30" xfId="0" applyBorder="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0" fontId="16" fillId="0" borderId="0" xfId="0" applyFont="1" applyAlignment="1">
      <alignment horizontal="center" vertical="center" wrapText="1"/>
    </xf>
    <xf numFmtId="2" fontId="3" fillId="2" borderId="71" xfId="0" applyNumberFormat="1" applyFont="1" applyFill="1" applyBorder="1" applyAlignment="1">
      <alignment horizontal="center" vertical="center"/>
    </xf>
    <xf numFmtId="2" fontId="3" fillId="2" borderId="21" xfId="0" applyNumberFormat="1" applyFont="1" applyFill="1" applyBorder="1" applyAlignment="1">
      <alignment horizontal="center" vertical="center"/>
    </xf>
    <xf numFmtId="2" fontId="3" fillId="2" borderId="54" xfId="0" applyNumberFormat="1" applyFont="1" applyFill="1" applyBorder="1" applyAlignment="1">
      <alignment horizontal="center" vertical="center"/>
    </xf>
    <xf numFmtId="164" fontId="3" fillId="3" borderId="20" xfId="0" applyNumberFormat="1" applyFont="1" applyFill="1" applyBorder="1" applyAlignment="1">
      <alignment horizontal="center" vertical="center"/>
    </xf>
    <xf numFmtId="2" fontId="1" fillId="8" borderId="27" xfId="0" applyNumberFormat="1" applyFont="1" applyFill="1" applyBorder="1" applyAlignment="1">
      <alignment horizontal="center" vertical="center"/>
    </xf>
    <xf numFmtId="2" fontId="1" fillId="6" borderId="22" xfId="0" applyNumberFormat="1" applyFont="1" applyFill="1" applyBorder="1" applyAlignment="1">
      <alignment horizontal="center" vertical="center"/>
    </xf>
    <xf numFmtId="0" fontId="0" fillId="0" borderId="80" xfId="0" applyBorder="1" applyAlignment="1">
      <alignment vertical="center" wrapText="1"/>
    </xf>
    <xf numFmtId="0" fontId="1" fillId="0" borderId="68" xfId="0" applyFont="1" applyBorder="1" applyAlignment="1">
      <alignment vertical="center"/>
    </xf>
    <xf numFmtId="0" fontId="1" fillId="0" borderId="73" xfId="0" applyFont="1" applyBorder="1" applyAlignment="1">
      <alignment vertical="center"/>
    </xf>
    <xf numFmtId="10" fontId="21" fillId="2" borderId="68" xfId="0" applyNumberFormat="1" applyFont="1" applyFill="1" applyBorder="1" applyAlignment="1">
      <alignment horizontal="center" vertical="center"/>
    </xf>
    <xf numFmtId="164" fontId="0" fillId="0" borderId="73" xfId="0" applyNumberFormat="1" applyBorder="1" applyAlignment="1">
      <alignment horizontal="center" vertical="center"/>
    </xf>
    <xf numFmtId="164" fontId="9" fillId="3" borderId="68" xfId="0" applyNumberFormat="1" applyFont="1" applyFill="1" applyBorder="1" applyAlignment="1">
      <alignment horizontal="center" vertical="center"/>
    </xf>
    <xf numFmtId="10" fontId="0" fillId="0" borderId="73" xfId="0" applyNumberFormat="1" applyBorder="1" applyAlignment="1">
      <alignment horizontal="right" vertical="center"/>
    </xf>
    <xf numFmtId="164" fontId="9" fillId="9" borderId="68" xfId="0" applyNumberFormat="1" applyFont="1" applyFill="1" applyBorder="1" applyAlignment="1">
      <alignment horizontal="center" vertical="center"/>
    </xf>
    <xf numFmtId="164" fontId="3" fillId="3" borderId="68" xfId="0" applyNumberFormat="1" applyFont="1" applyFill="1" applyBorder="1" applyAlignment="1">
      <alignment horizontal="center" vertical="center"/>
    </xf>
    <xf numFmtId="0" fontId="0" fillId="0" borderId="73" xfId="0" applyBorder="1" applyAlignment="1">
      <alignment vertical="center"/>
    </xf>
    <xf numFmtId="0" fontId="9" fillId="5" borderId="68" xfId="0" applyFont="1" applyFill="1" applyBorder="1" applyAlignment="1">
      <alignment horizontal="center" vertical="center"/>
    </xf>
    <xf numFmtId="10" fontId="0" fillId="0" borderId="73" xfId="0" applyNumberFormat="1" applyBorder="1" applyAlignment="1">
      <alignment vertical="center"/>
    </xf>
    <xf numFmtId="10" fontId="0" fillId="15" borderId="68" xfId="0" applyNumberFormat="1" applyFill="1" applyBorder="1" applyAlignment="1">
      <alignment horizontal="right" vertical="center"/>
    </xf>
    <xf numFmtId="164" fontId="0" fillId="0" borderId="73" xfId="0" applyNumberFormat="1" applyBorder="1" applyAlignment="1">
      <alignment vertical="center"/>
    </xf>
    <xf numFmtId="10" fontId="0" fillId="14" borderId="68" xfId="0" applyNumberFormat="1" applyFill="1" applyBorder="1" applyAlignment="1">
      <alignment horizontal="right" vertical="center"/>
    </xf>
    <xf numFmtId="164" fontId="29" fillId="7" borderId="68" xfId="0" applyNumberFormat="1" applyFont="1" applyFill="1" applyBorder="1" applyAlignment="1">
      <alignment horizontal="center" vertical="center"/>
    </xf>
    <xf numFmtId="164" fontId="29" fillId="14" borderId="68" xfId="0" applyNumberFormat="1" applyFont="1" applyFill="1" applyBorder="1" applyAlignment="1">
      <alignment horizontal="center" vertical="center"/>
    </xf>
    <xf numFmtId="164" fontId="1" fillId="7" borderId="68" xfId="0" applyNumberFormat="1" applyFont="1" applyFill="1" applyBorder="1" applyAlignment="1">
      <alignment horizontal="center" vertical="center"/>
    </xf>
    <xf numFmtId="164" fontId="1" fillId="7" borderId="67" xfId="0" applyNumberFormat="1" applyFont="1" applyFill="1" applyBorder="1" applyAlignment="1">
      <alignment horizontal="center" vertical="center"/>
    </xf>
    <xf numFmtId="0" fontId="0" fillId="0" borderId="74" xfId="0" applyBorder="1" applyAlignment="1">
      <alignment vertical="center"/>
    </xf>
    <xf numFmtId="2" fontId="3" fillId="2" borderId="67" xfId="0" applyNumberFormat="1" applyFont="1" applyFill="1" applyBorder="1" applyAlignment="1">
      <alignment horizontal="center" vertical="center"/>
    </xf>
    <xf numFmtId="164" fontId="0" fillId="0" borderId="74" xfId="0" applyNumberFormat="1" applyBorder="1" applyAlignment="1">
      <alignment horizontal="center" vertical="center"/>
    </xf>
    <xf numFmtId="164" fontId="9" fillId="9" borderId="67" xfId="0" applyNumberFormat="1" applyFont="1" applyFill="1" applyBorder="1" applyAlignment="1">
      <alignment horizontal="center" vertical="center"/>
    </xf>
    <xf numFmtId="2" fontId="1" fillId="8" borderId="67" xfId="0" applyNumberFormat="1" applyFont="1" applyFill="1" applyBorder="1" applyAlignment="1">
      <alignment horizontal="center" vertical="center"/>
    </xf>
    <xf numFmtId="0" fontId="1" fillId="5" borderId="67" xfId="0" applyFont="1" applyFill="1" applyBorder="1" applyAlignment="1">
      <alignment horizontal="center" vertical="center"/>
    </xf>
    <xf numFmtId="0" fontId="1" fillId="0" borderId="74" xfId="0" applyFont="1" applyBorder="1" applyAlignment="1">
      <alignment vertical="center"/>
    </xf>
    <xf numFmtId="2" fontId="1" fillId="6" borderId="67" xfId="0" applyNumberFormat="1" applyFont="1" applyFill="1" applyBorder="1" applyAlignment="1">
      <alignment horizontal="center" vertical="center"/>
    </xf>
    <xf numFmtId="10" fontId="21" fillId="12" borderId="68"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CC99"/>
      <color rgb="FFCC99FF"/>
      <color rgb="FFFF99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00546772947689E-2"/>
          <c:y val="4.0321238914903079E-2"/>
          <c:w val="0.7831927172431643"/>
          <c:h val="0.8398486235732161"/>
        </c:manualLayout>
      </c:layout>
      <c:lineChart>
        <c:grouping val="standard"/>
        <c:varyColors val="0"/>
        <c:ser>
          <c:idx val="0"/>
          <c:order val="0"/>
          <c:tx>
            <c:strRef>
              <c:f>'Graphique pollution 1'!$C$3</c:f>
              <c:strCache>
                <c:ptCount val="1"/>
                <c:pt idx="0">
                  <c:v>AESN</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1'!$C$4:$C$20</c:f>
              <c:numCache>
                <c:formatCode>0.000</c:formatCode>
                <c:ptCount val="17"/>
                <c:pt idx="0">
                  <c:v>0.11799999999999999</c:v>
                </c:pt>
                <c:pt idx="1">
                  <c:v>0.11799999999999999</c:v>
                </c:pt>
                <c:pt idx="2">
                  <c:v>0.11799999999999999</c:v>
                </c:pt>
                <c:pt idx="3">
                  <c:v>0.11799999999999999</c:v>
                </c:pt>
                <c:pt idx="4">
                  <c:v>0.11799999999999999</c:v>
                </c:pt>
                <c:pt idx="5">
                  <c:v>0.11</c:v>
                </c:pt>
                <c:pt idx="6">
                  <c:v>0.12</c:v>
                </c:pt>
                <c:pt idx="7">
                  <c:v>0.13</c:v>
                </c:pt>
                <c:pt idx="8">
                  <c:v>0.13</c:v>
                </c:pt>
                <c:pt idx="9">
                  <c:v>0.14000000000000001</c:v>
                </c:pt>
                <c:pt idx="10">
                  <c:v>0.15</c:v>
                </c:pt>
                <c:pt idx="11">
                  <c:v>0.15</c:v>
                </c:pt>
                <c:pt idx="12">
                  <c:v>0.15</c:v>
                </c:pt>
                <c:pt idx="13">
                  <c:v>0.15</c:v>
                </c:pt>
                <c:pt idx="14">
                  <c:v>0.15</c:v>
                </c:pt>
                <c:pt idx="15">
                  <c:v>0.15</c:v>
                </c:pt>
                <c:pt idx="16">
                  <c:v>0.15</c:v>
                </c:pt>
              </c:numCache>
            </c:numRef>
          </c:val>
          <c:smooth val="0"/>
          <c:extLst>
            <c:ext xmlns:c16="http://schemas.microsoft.com/office/drawing/2014/chart" uri="{C3380CC4-5D6E-409C-BE32-E72D297353CC}">
              <c16:uniqueId val="{00000000-ED83-4DA4-BD71-851FE6585A11}"/>
            </c:ext>
          </c:extLst>
        </c:ser>
        <c:ser>
          <c:idx val="1"/>
          <c:order val="1"/>
          <c:tx>
            <c:strRef>
              <c:f>'Graphique pollution 1'!$D$3</c:f>
              <c:strCache>
                <c:ptCount val="1"/>
                <c:pt idx="0">
                  <c:v>AG</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1'!$D$4:$D$20</c:f>
              <c:numCache>
                <c:formatCode>General</c:formatCode>
                <c:ptCount val="17"/>
                <c:pt idx="0">
                  <c:v>0.08</c:v>
                </c:pt>
                <c:pt idx="1">
                  <c:v>8.2000000000000003E-2</c:v>
                </c:pt>
                <c:pt idx="2">
                  <c:v>9.2999999999999999E-2</c:v>
                </c:pt>
                <c:pt idx="3">
                  <c:v>0.10299999999999999</c:v>
                </c:pt>
                <c:pt idx="5">
                  <c:v>0.11899999999999999</c:v>
                </c:pt>
                <c:pt idx="6">
                  <c:v>0.122</c:v>
                </c:pt>
                <c:pt idx="7">
                  <c:v>0.124</c:v>
                </c:pt>
                <c:pt idx="8">
                  <c:v>0.127</c:v>
                </c:pt>
                <c:pt idx="9">
                  <c:v>0.129</c:v>
                </c:pt>
                <c:pt idx="10">
                  <c:v>0.13200000000000001</c:v>
                </c:pt>
                <c:pt idx="11">
                  <c:v>0.13200000000000001</c:v>
                </c:pt>
                <c:pt idx="12">
                  <c:v>0.13200000000000001</c:v>
                </c:pt>
                <c:pt idx="13">
                  <c:v>0.13200000000000001</c:v>
                </c:pt>
                <c:pt idx="14">
                  <c:v>0.13200000000000001</c:v>
                </c:pt>
                <c:pt idx="15">
                  <c:v>0.13200000000000001</c:v>
                </c:pt>
                <c:pt idx="16">
                  <c:v>0.13200000000000001</c:v>
                </c:pt>
              </c:numCache>
            </c:numRef>
          </c:val>
          <c:smooth val="0"/>
          <c:extLst>
            <c:ext xmlns:c16="http://schemas.microsoft.com/office/drawing/2014/chart" uri="{C3380CC4-5D6E-409C-BE32-E72D297353CC}">
              <c16:uniqueId val="{00000001-ED83-4DA4-BD71-851FE6585A11}"/>
            </c:ext>
          </c:extLst>
        </c:ser>
        <c:ser>
          <c:idx val="2"/>
          <c:order val="2"/>
          <c:tx>
            <c:strRef>
              <c:f>'Graphique pollution 1'!$E$3</c:f>
              <c:strCache>
                <c:ptCount val="1"/>
                <c:pt idx="0">
                  <c:v>LB</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1'!$E$4:$E$20</c:f>
              <c:numCache>
                <c:formatCode>General</c:formatCode>
                <c:ptCount val="17"/>
                <c:pt idx="0">
                  <c:v>0.13800000000000001</c:v>
                </c:pt>
                <c:pt idx="1">
                  <c:v>0.14099999999999999</c:v>
                </c:pt>
                <c:pt idx="2">
                  <c:v>0.14399999999999999</c:v>
                </c:pt>
                <c:pt idx="3">
                  <c:v>0.14699999999999999</c:v>
                </c:pt>
                <c:pt idx="4">
                  <c:v>0.15</c:v>
                </c:pt>
                <c:pt idx="5">
                  <c:v>0.14849999999999999</c:v>
                </c:pt>
                <c:pt idx="6" formatCode="0.0000">
                  <c:v>0.14699999999999999</c:v>
                </c:pt>
                <c:pt idx="7" formatCode="0.0000">
                  <c:v>0.14549999999999999</c:v>
                </c:pt>
                <c:pt idx="8" formatCode="0.0000">
                  <c:v>0.14399999999999999</c:v>
                </c:pt>
                <c:pt idx="9" formatCode="0.0000">
                  <c:v>0.1426</c:v>
                </c:pt>
                <c:pt idx="10">
                  <c:v>0.14119999999999999</c:v>
                </c:pt>
                <c:pt idx="11">
                  <c:v>0.14119999999999999</c:v>
                </c:pt>
                <c:pt idx="12">
                  <c:v>0.14119999999999999</c:v>
                </c:pt>
                <c:pt idx="13">
                  <c:v>0.14119999999999999</c:v>
                </c:pt>
                <c:pt idx="14">
                  <c:v>0.14119999999999999</c:v>
                </c:pt>
                <c:pt idx="15">
                  <c:v>0.14119999999999999</c:v>
                </c:pt>
                <c:pt idx="16">
                  <c:v>0.14119999999999999</c:v>
                </c:pt>
              </c:numCache>
            </c:numRef>
          </c:val>
          <c:smooth val="0"/>
          <c:extLst>
            <c:ext xmlns:c16="http://schemas.microsoft.com/office/drawing/2014/chart" uri="{C3380CC4-5D6E-409C-BE32-E72D297353CC}">
              <c16:uniqueId val="{00000002-ED83-4DA4-BD71-851FE6585A11}"/>
            </c:ext>
          </c:extLst>
        </c:ser>
        <c:ser>
          <c:idx val="3"/>
          <c:order val="3"/>
          <c:tx>
            <c:strRef>
              <c:f>'Graphique pollution 1'!$F$3</c:f>
              <c:strCache>
                <c:ptCount val="1"/>
                <c:pt idx="0">
                  <c:v>AP</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1'!$F$4:$F$20</c:f>
              <c:numCache>
                <c:formatCode>General</c:formatCode>
                <c:ptCount val="17"/>
                <c:pt idx="0">
                  <c:v>0.15</c:v>
                </c:pt>
                <c:pt idx="1">
                  <c:v>0.153</c:v>
                </c:pt>
                <c:pt idx="2">
                  <c:v>0.153</c:v>
                </c:pt>
                <c:pt idx="3">
                  <c:v>0.156</c:v>
                </c:pt>
                <c:pt idx="4">
                  <c:v>0.159</c:v>
                </c:pt>
                <c:pt idx="5">
                  <c:v>0.16700000000000001</c:v>
                </c:pt>
                <c:pt idx="6">
                  <c:v>0.17499999999999999</c:v>
                </c:pt>
                <c:pt idx="7">
                  <c:v>0.184</c:v>
                </c:pt>
                <c:pt idx="8">
                  <c:v>0.193</c:v>
                </c:pt>
                <c:pt idx="9">
                  <c:v>0.20300000000000001</c:v>
                </c:pt>
                <c:pt idx="10">
                  <c:v>0.21299999999999999</c:v>
                </c:pt>
                <c:pt idx="11">
                  <c:v>0.192</c:v>
                </c:pt>
                <c:pt idx="12">
                  <c:v>0.192</c:v>
                </c:pt>
                <c:pt idx="13">
                  <c:v>0.192</c:v>
                </c:pt>
                <c:pt idx="14">
                  <c:v>0.192</c:v>
                </c:pt>
                <c:pt idx="15">
                  <c:v>0.192</c:v>
                </c:pt>
                <c:pt idx="16">
                  <c:v>0.192</c:v>
                </c:pt>
              </c:numCache>
            </c:numRef>
          </c:val>
          <c:smooth val="0"/>
          <c:extLst>
            <c:ext xmlns:c16="http://schemas.microsoft.com/office/drawing/2014/chart" uri="{C3380CC4-5D6E-409C-BE32-E72D297353CC}">
              <c16:uniqueId val="{00000003-ED83-4DA4-BD71-851FE6585A11}"/>
            </c:ext>
          </c:extLst>
        </c:ser>
        <c:ser>
          <c:idx val="4"/>
          <c:order val="4"/>
          <c:tx>
            <c:strRef>
              <c:f>'Graphique pollution 1'!$G$3</c:f>
              <c:strCache>
                <c:ptCount val="1"/>
                <c:pt idx="0">
                  <c:v>RM</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1'!$G$4:$G$20</c:f>
              <c:numCache>
                <c:formatCode>General</c:formatCode>
                <c:ptCount val="17"/>
                <c:pt idx="0">
                  <c:v>0.10100000000000001</c:v>
                </c:pt>
                <c:pt idx="1">
                  <c:v>0.10100000000000001</c:v>
                </c:pt>
                <c:pt idx="2">
                  <c:v>0.10299999999999999</c:v>
                </c:pt>
                <c:pt idx="3">
                  <c:v>0.10299999999999999</c:v>
                </c:pt>
                <c:pt idx="4">
                  <c:v>0.10299999999999999</c:v>
                </c:pt>
                <c:pt idx="5" formatCode="0.0000">
                  <c:v>0.1152</c:v>
                </c:pt>
                <c:pt idx="6">
                  <c:v>0.12739999999999999</c:v>
                </c:pt>
                <c:pt idx="7">
                  <c:v>0.13959999999999997</c:v>
                </c:pt>
                <c:pt idx="8">
                  <c:v>0.15179999999999996</c:v>
                </c:pt>
                <c:pt idx="9">
                  <c:v>0.16399999999999995</c:v>
                </c:pt>
                <c:pt idx="10">
                  <c:v>0.16399999999999995</c:v>
                </c:pt>
                <c:pt idx="11">
                  <c:v>0.16399999999999995</c:v>
                </c:pt>
                <c:pt idx="12">
                  <c:v>0.16399999999999995</c:v>
                </c:pt>
                <c:pt idx="13">
                  <c:v>0.16399999999999995</c:v>
                </c:pt>
                <c:pt idx="14">
                  <c:v>0.16399999999999995</c:v>
                </c:pt>
                <c:pt idx="15">
                  <c:v>0.16399999999999995</c:v>
                </c:pt>
                <c:pt idx="16">
                  <c:v>0.16399999999999995</c:v>
                </c:pt>
              </c:numCache>
            </c:numRef>
          </c:val>
          <c:smooth val="0"/>
          <c:extLst>
            <c:ext xmlns:c16="http://schemas.microsoft.com/office/drawing/2014/chart" uri="{C3380CC4-5D6E-409C-BE32-E72D297353CC}">
              <c16:uniqueId val="{00000004-ED83-4DA4-BD71-851FE6585A11}"/>
            </c:ext>
          </c:extLst>
        </c:ser>
        <c:ser>
          <c:idx val="5"/>
          <c:order val="5"/>
          <c:tx>
            <c:strRef>
              <c:f>'Graphique pollution 1'!$H$3</c:f>
              <c:strCache>
                <c:ptCount val="1"/>
                <c:pt idx="0">
                  <c:v>RMC</c:v>
                </c:pt>
              </c:strCache>
            </c:strRef>
          </c:tx>
          <c:cat>
            <c:numRef>
              <c:f>'Graphique pollution 1'!$B$4:$B$20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1'!$H$4:$H$20</c:f>
              <c:numCache>
                <c:formatCode>General</c:formatCode>
                <c:ptCount val="17"/>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numCache>
            </c:numRef>
          </c:val>
          <c:smooth val="0"/>
          <c:extLst>
            <c:ext xmlns:c16="http://schemas.microsoft.com/office/drawing/2014/chart" uri="{C3380CC4-5D6E-409C-BE32-E72D297353CC}">
              <c16:uniqueId val="{00000005-ED83-4DA4-BD71-851FE6585A11}"/>
            </c:ext>
          </c:extLst>
        </c:ser>
        <c:dLbls>
          <c:showLegendKey val="0"/>
          <c:showVal val="0"/>
          <c:showCatName val="0"/>
          <c:showSerName val="0"/>
          <c:showPercent val="0"/>
          <c:showBubbleSize val="0"/>
        </c:dLbls>
        <c:marker val="1"/>
        <c:smooth val="0"/>
        <c:axId val="90908160"/>
        <c:axId val="90909696"/>
      </c:lineChart>
      <c:catAx>
        <c:axId val="909081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09696"/>
        <c:crosses val="autoZero"/>
        <c:auto val="1"/>
        <c:lblAlgn val="ctr"/>
        <c:lblOffset val="100"/>
        <c:noMultiLvlLbl val="0"/>
      </c:catAx>
      <c:valAx>
        <c:axId val="9090969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0816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rgbClr val="FF0000"/>
                </a:solidFill>
                <a:latin typeface="+mn-lt"/>
                <a:ea typeface="+mn-ea"/>
                <a:cs typeface="+mn-cs"/>
              </a:defRPr>
            </a:pPr>
            <a:r>
              <a:rPr lang="en-US">
                <a:solidFill>
                  <a:srgbClr val="FF0000"/>
                </a:solidFill>
              </a:rPr>
              <a:t>SELS DISSOUS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rgbClr val="FF0000"/>
              </a:solidFill>
              <a:latin typeface="+mn-lt"/>
              <a:ea typeface="+mn-ea"/>
              <a:cs typeface="+mn-cs"/>
            </a:defRPr>
          </a:pPr>
          <a:endParaRPr lang="fr-FR"/>
        </a:p>
      </c:txPr>
    </c:title>
    <c:autoTitleDeleted val="0"/>
    <c:plotArea>
      <c:layout/>
      <c:lineChart>
        <c:grouping val="standard"/>
        <c:varyColors val="0"/>
        <c:ser>
          <c:idx val="0"/>
          <c:order val="0"/>
          <c:tx>
            <c:strRef>
              <c:f>'Graphique pollution 1'!$C$143</c:f>
              <c:strCache>
                <c:ptCount val="1"/>
                <c:pt idx="0">
                  <c:v>AESN</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1'!$C$144:$C$160</c:f>
              <c:numCache>
                <c:formatCode>0.000</c:formatCode>
                <c:ptCount val="17"/>
              </c:numCache>
            </c:numRef>
          </c:val>
          <c:smooth val="0"/>
          <c:extLst>
            <c:ext xmlns:c16="http://schemas.microsoft.com/office/drawing/2014/chart" uri="{C3380CC4-5D6E-409C-BE32-E72D297353CC}">
              <c16:uniqueId val="{00000000-3AA3-473F-BE98-48A3BDC6C531}"/>
            </c:ext>
          </c:extLst>
        </c:ser>
        <c:ser>
          <c:idx val="1"/>
          <c:order val="1"/>
          <c:tx>
            <c:strRef>
              <c:f>'Graphique pollution 1'!$D$143</c:f>
              <c:strCache>
                <c:ptCount val="1"/>
                <c:pt idx="0">
                  <c:v>AG</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1'!$D$144:$D$160</c:f>
              <c:numCache>
                <c:formatCode>General</c:formatCode>
                <c:ptCount val="17"/>
              </c:numCache>
            </c:numRef>
          </c:val>
          <c:smooth val="0"/>
          <c:extLst>
            <c:ext xmlns:c16="http://schemas.microsoft.com/office/drawing/2014/chart" uri="{C3380CC4-5D6E-409C-BE32-E72D297353CC}">
              <c16:uniqueId val="{00000001-3AA3-473F-BE98-48A3BDC6C531}"/>
            </c:ext>
          </c:extLst>
        </c:ser>
        <c:ser>
          <c:idx val="2"/>
          <c:order val="2"/>
          <c:tx>
            <c:strRef>
              <c:f>'Graphique pollution 1'!$E$143</c:f>
              <c:strCache>
                <c:ptCount val="1"/>
                <c:pt idx="0">
                  <c:v>LB</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1'!$E$144:$E$160</c:f>
              <c:numCache>
                <c:formatCode>General</c:formatCode>
                <c:ptCount val="17"/>
                <c:pt idx="11" formatCode="0.0000">
                  <c:v>0.02</c:v>
                </c:pt>
                <c:pt idx="12" formatCode="0.0000">
                  <c:v>0.02</c:v>
                </c:pt>
                <c:pt idx="13" formatCode="0.0000">
                  <c:v>0.04</c:v>
                </c:pt>
                <c:pt idx="14" formatCode="0.0000">
                  <c:v>0.04</c:v>
                </c:pt>
                <c:pt idx="15" formatCode="0.0000">
                  <c:v>4.5999999999999999E-2</c:v>
                </c:pt>
                <c:pt idx="16" formatCode="0.0000">
                  <c:v>5.2999999999999999E-2</c:v>
                </c:pt>
              </c:numCache>
            </c:numRef>
          </c:val>
          <c:smooth val="0"/>
          <c:extLst>
            <c:ext xmlns:c16="http://schemas.microsoft.com/office/drawing/2014/chart" uri="{C3380CC4-5D6E-409C-BE32-E72D297353CC}">
              <c16:uniqueId val="{00000002-3AA3-473F-BE98-48A3BDC6C531}"/>
            </c:ext>
          </c:extLst>
        </c:ser>
        <c:ser>
          <c:idx val="3"/>
          <c:order val="3"/>
          <c:tx>
            <c:strRef>
              <c:f>'Graphique pollution 1'!$F$143</c:f>
              <c:strCache>
                <c:ptCount val="1"/>
                <c:pt idx="0">
                  <c:v>AP</c:v>
                </c:pt>
              </c:strCache>
            </c:strRef>
          </c:tx>
          <c:spPr>
            <a:ln w="22225" cap="rnd">
              <a:solidFill>
                <a:schemeClr val="accent4"/>
              </a:solidFill>
              <a:round/>
            </a:ln>
            <a:effectLst/>
          </c:spPr>
          <c:marker>
            <c:symbol val="x"/>
            <c:size val="6"/>
            <c:spPr>
              <a:noFill/>
              <a:ln w="9525">
                <a:solidFill>
                  <a:schemeClr val="accent4"/>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1'!$F$144:$F$160</c:f>
              <c:numCache>
                <c:formatCode>General</c:formatCode>
                <c:ptCount val="17"/>
                <c:pt idx="0">
                  <c:v>0.1</c:v>
                </c:pt>
                <c:pt idx="1">
                  <c:v>0.105</c:v>
                </c:pt>
                <c:pt idx="2">
                  <c:v>0.105</c:v>
                </c:pt>
                <c:pt idx="3">
                  <c:v>0.11</c:v>
                </c:pt>
                <c:pt idx="4">
                  <c:v>0.115</c:v>
                </c:pt>
                <c:pt idx="5">
                  <c:v>0.12</c:v>
                </c:pt>
                <c:pt idx="6">
                  <c:v>0.125</c:v>
                </c:pt>
                <c:pt idx="7">
                  <c:v>0.13100000000000001</c:v>
                </c:pt>
                <c:pt idx="8">
                  <c:v>0.13700000000000001</c:v>
                </c:pt>
                <c:pt idx="9">
                  <c:v>0.14299999999999999</c:v>
                </c:pt>
                <c:pt idx="10">
                  <c:v>0.14899999999999999</c:v>
                </c:pt>
                <c:pt idx="11">
                  <c:v>0.13400000000000001</c:v>
                </c:pt>
                <c:pt idx="12">
                  <c:v>0.13400000000000001</c:v>
                </c:pt>
                <c:pt idx="13">
                  <c:v>0.13400000000000001</c:v>
                </c:pt>
                <c:pt idx="14">
                  <c:v>0.13400000000000001</c:v>
                </c:pt>
                <c:pt idx="15">
                  <c:v>0.13400000000000001</c:v>
                </c:pt>
                <c:pt idx="16">
                  <c:v>0.13400000000000001</c:v>
                </c:pt>
              </c:numCache>
            </c:numRef>
          </c:val>
          <c:smooth val="0"/>
          <c:extLst>
            <c:ext xmlns:c16="http://schemas.microsoft.com/office/drawing/2014/chart" uri="{C3380CC4-5D6E-409C-BE32-E72D297353CC}">
              <c16:uniqueId val="{00000003-3AA3-473F-BE98-48A3BDC6C531}"/>
            </c:ext>
          </c:extLst>
        </c:ser>
        <c:ser>
          <c:idx val="4"/>
          <c:order val="4"/>
          <c:tx>
            <c:strRef>
              <c:f>'Graphique pollution 1'!$G$143</c:f>
              <c:strCache>
                <c:ptCount val="1"/>
                <c:pt idx="0">
                  <c:v>RM</c:v>
                </c:pt>
              </c:strCache>
            </c:strRef>
          </c:tx>
          <c:spPr>
            <a:ln w="22225" cap="rnd">
              <a:solidFill>
                <a:schemeClr val="accent5"/>
              </a:solidFill>
              <a:round/>
            </a:ln>
            <a:effectLst/>
          </c:spPr>
          <c:marker>
            <c:symbol val="star"/>
            <c:size val="6"/>
            <c:spPr>
              <a:noFill/>
              <a:ln w="9525">
                <a:solidFill>
                  <a:schemeClr val="accent5"/>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1'!$G$144:$G$160</c:f>
              <c:numCache>
                <c:formatCode>General</c:formatCode>
                <c:ptCount val="17"/>
                <c:pt idx="0">
                  <c:v>7.6999999999999999E-2</c:v>
                </c:pt>
                <c:pt idx="1">
                  <c:v>7.6999999999999999E-2</c:v>
                </c:pt>
                <c:pt idx="2">
                  <c:v>7.9000000000000001E-2</c:v>
                </c:pt>
                <c:pt idx="3">
                  <c:v>7.9000000000000001E-2</c:v>
                </c:pt>
                <c:pt idx="4">
                  <c:v>7.9000000000000001E-2</c:v>
                </c:pt>
                <c:pt idx="5" formatCode="0.0000">
                  <c:v>8.8200000000000001E-2</c:v>
                </c:pt>
                <c:pt idx="6">
                  <c:v>9.74E-2</c:v>
                </c:pt>
                <c:pt idx="7">
                  <c:v>0.1066</c:v>
                </c:pt>
                <c:pt idx="8">
                  <c:v>0.1158</c:v>
                </c:pt>
                <c:pt idx="9">
                  <c:v>0.125</c:v>
                </c:pt>
                <c:pt idx="10">
                  <c:v>0.125</c:v>
                </c:pt>
              </c:numCache>
            </c:numRef>
          </c:val>
          <c:smooth val="0"/>
          <c:extLst>
            <c:ext xmlns:c16="http://schemas.microsoft.com/office/drawing/2014/chart" uri="{C3380CC4-5D6E-409C-BE32-E72D297353CC}">
              <c16:uniqueId val="{00000004-3AA3-473F-BE98-48A3BDC6C531}"/>
            </c:ext>
          </c:extLst>
        </c:ser>
        <c:ser>
          <c:idx val="5"/>
          <c:order val="5"/>
          <c:tx>
            <c:strRef>
              <c:f>'Graphique pollution 1'!$H$143</c:f>
              <c:strCache>
                <c:ptCount val="1"/>
                <c:pt idx="0">
                  <c:v>RMC</c:v>
                </c:pt>
              </c:strCache>
            </c:strRef>
          </c:tx>
          <c:spPr>
            <a:ln w="22225" cap="rnd">
              <a:solidFill>
                <a:schemeClr val="accent6"/>
              </a:solidFill>
              <a:round/>
            </a:ln>
            <a:effectLst/>
          </c:spPr>
          <c:marker>
            <c:symbol val="circle"/>
            <c:size val="6"/>
            <c:spPr>
              <a:solidFill>
                <a:schemeClr val="accent6"/>
              </a:solidFill>
              <a:ln w="9525">
                <a:solidFill>
                  <a:schemeClr val="accent6"/>
                </a:solidFill>
                <a:round/>
              </a:ln>
              <a:effectLst/>
            </c:spPr>
          </c:marker>
          <c:cat>
            <c:numRef>
              <c:f>'Graphique pollution 1'!$B$144:$B$160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1'!$H$144:$H$160</c:f>
              <c:numCache>
                <c:formatCode>General</c:formatCode>
                <c:ptCount val="17"/>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numCache>
            </c:numRef>
          </c:val>
          <c:smooth val="0"/>
          <c:extLst>
            <c:ext xmlns:c16="http://schemas.microsoft.com/office/drawing/2014/chart" uri="{C3380CC4-5D6E-409C-BE32-E72D297353CC}">
              <c16:uniqueId val="{00000005-3AA3-473F-BE98-48A3BDC6C531}"/>
            </c:ext>
          </c:extLst>
        </c:ser>
        <c:dLbls>
          <c:showLegendKey val="0"/>
          <c:showVal val="0"/>
          <c:showCatName val="0"/>
          <c:showSerName val="0"/>
          <c:showPercent val="0"/>
          <c:showBubbleSize val="0"/>
        </c:dLbls>
        <c:marker val="1"/>
        <c:smooth val="0"/>
        <c:axId val="1300031775"/>
        <c:axId val="1300035103"/>
      </c:lineChart>
      <c:catAx>
        <c:axId val="1300031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fr-FR"/>
          </a:p>
        </c:txPr>
        <c:crossAx val="1300035103"/>
        <c:crosses val="autoZero"/>
        <c:auto val="1"/>
        <c:lblAlgn val="ctr"/>
        <c:lblOffset val="100"/>
        <c:noMultiLvlLbl val="0"/>
      </c:catAx>
      <c:valAx>
        <c:axId val="1300035103"/>
        <c:scaling>
          <c:orientation val="minMax"/>
        </c:scaling>
        <c:delete val="0"/>
        <c:axPos val="l"/>
        <c:numFmt formatCode="0.00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00317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30510285051576E-2"/>
          <c:y val="5.8600681198270797E-2"/>
          <c:w val="0.73994908328340092"/>
          <c:h val="0.85121739412203101"/>
        </c:manualLayout>
      </c:layout>
      <c:lineChart>
        <c:grouping val="standard"/>
        <c:varyColors val="0"/>
        <c:ser>
          <c:idx val="0"/>
          <c:order val="0"/>
          <c:tx>
            <c:strRef>
              <c:f>'Graphique pollution 2'!$C$2:$C$2</c:f>
              <c:strCache>
                <c:ptCount val="1"/>
                <c:pt idx="0">
                  <c:v>AESN</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2'!$C$3:$C$19</c:f>
              <c:numCache>
                <c:formatCode>0.000</c:formatCode>
                <c:ptCount val="17"/>
                <c:pt idx="0">
                  <c:v>2.25</c:v>
                </c:pt>
                <c:pt idx="1">
                  <c:v>2.25</c:v>
                </c:pt>
                <c:pt idx="2">
                  <c:v>2.25</c:v>
                </c:pt>
                <c:pt idx="3">
                  <c:v>2.25</c:v>
                </c:pt>
                <c:pt idx="4">
                  <c:v>2.25</c:v>
                </c:pt>
                <c:pt idx="5" formatCode="0.0">
                  <c:v>3</c:v>
                </c:pt>
                <c:pt idx="6" formatCode="0.0">
                  <c:v>3</c:v>
                </c:pt>
                <c:pt idx="7" formatCode="0.0">
                  <c:v>3</c:v>
                </c:pt>
                <c:pt idx="8" formatCode="0.0">
                  <c:v>3</c:v>
                </c:pt>
                <c:pt idx="9" formatCode="0.0">
                  <c:v>3</c:v>
                </c:pt>
                <c:pt idx="10" formatCode="0.0">
                  <c:v>3</c:v>
                </c:pt>
                <c:pt idx="11" formatCode="0.0">
                  <c:v>3</c:v>
                </c:pt>
                <c:pt idx="12" formatCode="0.0">
                  <c:v>3</c:v>
                </c:pt>
                <c:pt idx="13" formatCode="0.0">
                  <c:v>3</c:v>
                </c:pt>
                <c:pt idx="14" formatCode="0.0">
                  <c:v>3</c:v>
                </c:pt>
                <c:pt idx="15" formatCode="0.0">
                  <c:v>3</c:v>
                </c:pt>
                <c:pt idx="16" formatCode="0.0">
                  <c:v>3</c:v>
                </c:pt>
              </c:numCache>
            </c:numRef>
          </c:val>
          <c:smooth val="0"/>
          <c:extLst>
            <c:ext xmlns:c16="http://schemas.microsoft.com/office/drawing/2014/chart" uri="{C3380CC4-5D6E-409C-BE32-E72D297353CC}">
              <c16:uniqueId val="{00000000-B706-48D1-846A-D3C42CE6F1F8}"/>
            </c:ext>
          </c:extLst>
        </c:ser>
        <c:ser>
          <c:idx val="1"/>
          <c:order val="1"/>
          <c:tx>
            <c:strRef>
              <c:f>'Graphique pollution 2'!$D$2:$D$2</c:f>
              <c:strCache>
                <c:ptCount val="1"/>
                <c:pt idx="0">
                  <c:v>AG</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2'!$D$3:$D$19</c:f>
              <c:numCache>
                <c:formatCode>0.000</c:formatCode>
                <c:ptCount val="17"/>
                <c:pt idx="0">
                  <c:v>0.47</c:v>
                </c:pt>
                <c:pt idx="1">
                  <c:v>0.48399999999999999</c:v>
                </c:pt>
                <c:pt idx="2">
                  <c:v>0.54400000000000004</c:v>
                </c:pt>
                <c:pt idx="3">
                  <c:v>0.61099999999999999</c:v>
                </c:pt>
                <c:pt idx="4">
                  <c:v>0.68500000000000005</c:v>
                </c:pt>
                <c:pt idx="5">
                  <c:v>0.7</c:v>
                </c:pt>
                <c:pt idx="6">
                  <c:v>0.71</c:v>
                </c:pt>
                <c:pt idx="7">
                  <c:v>0.73</c:v>
                </c:pt>
                <c:pt idx="8">
                  <c:v>0.74</c:v>
                </c:pt>
                <c:pt idx="9">
                  <c:v>0.76</c:v>
                </c:pt>
                <c:pt idx="10">
                  <c:v>0.77</c:v>
                </c:pt>
                <c:pt idx="11">
                  <c:v>0.77</c:v>
                </c:pt>
                <c:pt idx="12">
                  <c:v>0.77</c:v>
                </c:pt>
                <c:pt idx="13">
                  <c:v>0.77</c:v>
                </c:pt>
                <c:pt idx="14">
                  <c:v>0.77</c:v>
                </c:pt>
                <c:pt idx="15">
                  <c:v>0.77</c:v>
                </c:pt>
                <c:pt idx="16">
                  <c:v>0.77</c:v>
                </c:pt>
              </c:numCache>
            </c:numRef>
          </c:val>
          <c:smooth val="0"/>
          <c:extLst>
            <c:ext xmlns:c16="http://schemas.microsoft.com/office/drawing/2014/chart" uri="{C3380CC4-5D6E-409C-BE32-E72D297353CC}">
              <c16:uniqueId val="{00000001-B706-48D1-846A-D3C42CE6F1F8}"/>
            </c:ext>
          </c:extLst>
        </c:ser>
        <c:ser>
          <c:idx val="2"/>
          <c:order val="2"/>
          <c:tx>
            <c:strRef>
              <c:f>'Graphique pollution 2'!$E$2:$E$2</c:f>
              <c:strCache>
                <c:ptCount val="1"/>
                <c:pt idx="0">
                  <c:v>LB</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2'!$E$3:$E$19</c:f>
              <c:numCache>
                <c:formatCode>0.000</c:formatCode>
                <c:ptCount val="17"/>
                <c:pt idx="0">
                  <c:v>1.3859999999999999</c:v>
                </c:pt>
                <c:pt idx="1">
                  <c:v>1.4139999999999999</c:v>
                </c:pt>
                <c:pt idx="2">
                  <c:v>1.4419999999999999</c:v>
                </c:pt>
                <c:pt idx="3">
                  <c:v>1.4710000000000001</c:v>
                </c:pt>
                <c:pt idx="4" formatCode="0.00">
                  <c:v>1.5</c:v>
                </c:pt>
                <c:pt idx="5" formatCode="0.00">
                  <c:v>1.5</c:v>
                </c:pt>
                <c:pt idx="6" formatCode="0.00">
                  <c:v>1.5</c:v>
                </c:pt>
                <c:pt idx="7" formatCode="0.00">
                  <c:v>1.5</c:v>
                </c:pt>
                <c:pt idx="8" formatCode="0.00">
                  <c:v>1.5</c:v>
                </c:pt>
                <c:pt idx="9" formatCode="0.00">
                  <c:v>1.5</c:v>
                </c:pt>
                <c:pt idx="10" formatCode="0.00">
                  <c:v>1.5</c:v>
                </c:pt>
                <c:pt idx="11" formatCode="0.00">
                  <c:v>1.5</c:v>
                </c:pt>
                <c:pt idx="12" formatCode="0.00">
                  <c:v>1.5</c:v>
                </c:pt>
                <c:pt idx="13" formatCode="0.00">
                  <c:v>1.5</c:v>
                </c:pt>
                <c:pt idx="14" formatCode="0.00">
                  <c:v>1.5</c:v>
                </c:pt>
                <c:pt idx="15" formatCode="0.00">
                  <c:v>1.5</c:v>
                </c:pt>
                <c:pt idx="16" formatCode="0.00">
                  <c:v>1.5</c:v>
                </c:pt>
              </c:numCache>
            </c:numRef>
          </c:val>
          <c:smooth val="0"/>
          <c:extLst>
            <c:ext xmlns:c16="http://schemas.microsoft.com/office/drawing/2014/chart" uri="{C3380CC4-5D6E-409C-BE32-E72D297353CC}">
              <c16:uniqueId val="{00000002-B706-48D1-846A-D3C42CE6F1F8}"/>
            </c:ext>
          </c:extLst>
        </c:ser>
        <c:ser>
          <c:idx val="3"/>
          <c:order val="3"/>
          <c:tx>
            <c:strRef>
              <c:f>'Graphique pollution 2'!$F$2:$F$2</c:f>
              <c:strCache>
                <c:ptCount val="1"/>
                <c:pt idx="0">
                  <c:v>AP</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2'!$F$3:$F$19</c:f>
              <c:numCache>
                <c:formatCode>0.0</c:formatCode>
                <c:ptCount val="17"/>
                <c:pt idx="0">
                  <c:v>2</c:v>
                </c:pt>
                <c:pt idx="1">
                  <c:v>2.1</c:v>
                </c:pt>
                <c:pt idx="2">
                  <c:v>2.1</c:v>
                </c:pt>
                <c:pt idx="3">
                  <c:v>2.2000000000000002</c:v>
                </c:pt>
                <c:pt idx="4">
                  <c:v>2.2999999999999998</c:v>
                </c:pt>
                <c:pt idx="5" formatCode="0.000">
                  <c:v>2.4729999999999999</c:v>
                </c:pt>
                <c:pt idx="6" formatCode="0.000">
                  <c:v>2.6579999999999999</c:v>
                </c:pt>
                <c:pt idx="7" formatCode="0.000">
                  <c:v>2.8570000000000002</c:v>
                </c:pt>
                <c:pt idx="8" formatCode="0.000">
                  <c:v>3.0710000000000002</c:v>
                </c:pt>
                <c:pt idx="9" formatCode="0.000">
                  <c:v>3.3010000000000002</c:v>
                </c:pt>
                <c:pt idx="10" formatCode="0.000">
                  <c:v>3.5489999999999999</c:v>
                </c:pt>
                <c:pt idx="11" formatCode="0.000">
                  <c:v>3.194</c:v>
                </c:pt>
                <c:pt idx="12" formatCode="0.000">
                  <c:v>3.194</c:v>
                </c:pt>
                <c:pt idx="13" formatCode="0.000">
                  <c:v>3.194</c:v>
                </c:pt>
                <c:pt idx="14" formatCode="0.000">
                  <c:v>3.194</c:v>
                </c:pt>
                <c:pt idx="15" formatCode="0.000">
                  <c:v>3.194</c:v>
                </c:pt>
                <c:pt idx="16" formatCode="0.000">
                  <c:v>3.194</c:v>
                </c:pt>
              </c:numCache>
            </c:numRef>
          </c:val>
          <c:smooth val="0"/>
          <c:extLst>
            <c:ext xmlns:c16="http://schemas.microsoft.com/office/drawing/2014/chart" uri="{C3380CC4-5D6E-409C-BE32-E72D297353CC}">
              <c16:uniqueId val="{00000003-B706-48D1-846A-D3C42CE6F1F8}"/>
            </c:ext>
          </c:extLst>
        </c:ser>
        <c:ser>
          <c:idx val="4"/>
          <c:order val="4"/>
          <c:tx>
            <c:strRef>
              <c:f>'Graphique pollution 2'!$G$2:$G$2</c:f>
              <c:strCache>
                <c:ptCount val="1"/>
                <c:pt idx="0">
                  <c:v>RM</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2'!$G$3:$G$19</c:f>
              <c:numCache>
                <c:formatCode>0.000</c:formatCode>
                <c:ptCount val="17"/>
                <c:pt idx="0">
                  <c:v>1.61</c:v>
                </c:pt>
                <c:pt idx="1">
                  <c:v>1.61</c:v>
                </c:pt>
                <c:pt idx="2">
                  <c:v>1.6419999999999999</c:v>
                </c:pt>
                <c:pt idx="3">
                  <c:v>1.6419999999999999</c:v>
                </c:pt>
                <c:pt idx="4">
                  <c:v>1.6419999999999999</c:v>
                </c:pt>
                <c:pt idx="5">
                  <c:v>1.7887999999999999</c:v>
                </c:pt>
                <c:pt idx="6">
                  <c:v>1.9356</c:v>
                </c:pt>
                <c:pt idx="7">
                  <c:v>2.0823999999999998</c:v>
                </c:pt>
                <c:pt idx="8">
                  <c:v>2.2292000000000001</c:v>
                </c:pt>
                <c:pt idx="9">
                  <c:v>2.3759999999999999</c:v>
                </c:pt>
                <c:pt idx="10">
                  <c:v>2.3759999999999999</c:v>
                </c:pt>
                <c:pt idx="11">
                  <c:v>2.3759999999999999</c:v>
                </c:pt>
                <c:pt idx="12">
                  <c:v>2.3759999999999999</c:v>
                </c:pt>
                <c:pt idx="13">
                  <c:v>2.3759999999999999</c:v>
                </c:pt>
                <c:pt idx="14">
                  <c:v>2.3759999999999999</c:v>
                </c:pt>
                <c:pt idx="15">
                  <c:v>2.3759999999999999</c:v>
                </c:pt>
                <c:pt idx="16">
                  <c:v>2.3759999999999999</c:v>
                </c:pt>
              </c:numCache>
            </c:numRef>
          </c:val>
          <c:smooth val="0"/>
          <c:extLst>
            <c:ext xmlns:c16="http://schemas.microsoft.com/office/drawing/2014/chart" uri="{C3380CC4-5D6E-409C-BE32-E72D297353CC}">
              <c16:uniqueId val="{00000004-B706-48D1-846A-D3C42CE6F1F8}"/>
            </c:ext>
          </c:extLst>
        </c:ser>
        <c:ser>
          <c:idx val="5"/>
          <c:order val="5"/>
          <c:tx>
            <c:strRef>
              <c:f>'Graphique pollution 2'!$H$2:$H$2</c:f>
              <c:strCache>
                <c:ptCount val="1"/>
                <c:pt idx="0">
                  <c:v>RMC</c:v>
                </c:pt>
              </c:strCache>
            </c:strRef>
          </c:tx>
          <c:cat>
            <c:numRef>
              <c:f>'Graphique pollution 2'!$B$3:$B$19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2'!$H$3:$H$19</c:f>
              <c:numCache>
                <c:formatCode>0.0</c:formatCode>
                <c:ptCount val="17"/>
                <c:pt idx="0">
                  <c:v>2.2000000000000002</c:v>
                </c:pt>
                <c:pt idx="1">
                  <c:v>2.2000000000000002</c:v>
                </c:pt>
                <c:pt idx="2">
                  <c:v>2.2000000000000002</c:v>
                </c:pt>
                <c:pt idx="3">
                  <c:v>2.2000000000000002</c:v>
                </c:pt>
                <c:pt idx="4">
                  <c:v>2.2000000000000002</c:v>
                </c:pt>
                <c:pt idx="5">
                  <c:v>2.2000000000000002</c:v>
                </c:pt>
                <c:pt idx="6">
                  <c:v>2.2000000000000002</c:v>
                </c:pt>
                <c:pt idx="7">
                  <c:v>2.2000000000000002</c:v>
                </c:pt>
                <c:pt idx="8">
                  <c:v>2.2000000000000002</c:v>
                </c:pt>
                <c:pt idx="9">
                  <c:v>2.2000000000000002</c:v>
                </c:pt>
                <c:pt idx="10">
                  <c:v>2.2000000000000002</c:v>
                </c:pt>
                <c:pt idx="11">
                  <c:v>2.2000000000000002</c:v>
                </c:pt>
                <c:pt idx="12">
                  <c:v>2.2000000000000002</c:v>
                </c:pt>
                <c:pt idx="13">
                  <c:v>2.2000000000000002</c:v>
                </c:pt>
                <c:pt idx="14">
                  <c:v>2.2000000000000002</c:v>
                </c:pt>
                <c:pt idx="15">
                  <c:v>2.2000000000000002</c:v>
                </c:pt>
                <c:pt idx="16">
                  <c:v>2.2000000000000002</c:v>
                </c:pt>
              </c:numCache>
            </c:numRef>
          </c:val>
          <c:smooth val="0"/>
          <c:extLst>
            <c:ext xmlns:c16="http://schemas.microsoft.com/office/drawing/2014/chart" uri="{C3380CC4-5D6E-409C-BE32-E72D297353CC}">
              <c16:uniqueId val="{00000005-B706-48D1-846A-D3C42CE6F1F8}"/>
            </c:ext>
          </c:extLst>
        </c:ser>
        <c:dLbls>
          <c:showLegendKey val="0"/>
          <c:showVal val="0"/>
          <c:showCatName val="0"/>
          <c:showSerName val="0"/>
          <c:showPercent val="0"/>
          <c:showBubbleSize val="0"/>
        </c:dLbls>
        <c:marker val="1"/>
        <c:smooth val="0"/>
        <c:axId val="91875584"/>
        <c:axId val="91897856"/>
      </c:lineChart>
      <c:catAx>
        <c:axId val="91875584"/>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897856"/>
        <c:crosses val="autoZero"/>
        <c:auto val="1"/>
        <c:lblAlgn val="ctr"/>
        <c:lblOffset val="100"/>
        <c:noMultiLvlLbl val="0"/>
      </c:catAx>
      <c:valAx>
        <c:axId val="9189785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87558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2'!$C$22</c:f>
              <c:strCache>
                <c:ptCount val="1"/>
                <c:pt idx="0">
                  <c:v>AESN</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2'!$C$23:$C$39</c:f>
              <c:numCache>
                <c:formatCode>0.0</c:formatCode>
                <c:ptCount val="17"/>
                <c:pt idx="0">
                  <c:v>5</c:v>
                </c:pt>
                <c:pt idx="1">
                  <c:v>5</c:v>
                </c:pt>
                <c:pt idx="2">
                  <c:v>5</c:v>
                </c:pt>
                <c:pt idx="3">
                  <c:v>5</c:v>
                </c:pt>
                <c:pt idx="4">
                  <c:v>5</c:v>
                </c:pt>
                <c:pt idx="5">
                  <c:v>5</c:v>
                </c:pt>
                <c:pt idx="6">
                  <c:v>5.2</c:v>
                </c:pt>
                <c:pt idx="7">
                  <c:v>5.4</c:v>
                </c:pt>
                <c:pt idx="8">
                  <c:v>5.6</c:v>
                </c:pt>
                <c:pt idx="9">
                  <c:v>5.6</c:v>
                </c:pt>
                <c:pt idx="10">
                  <c:v>6</c:v>
                </c:pt>
                <c:pt idx="11">
                  <c:v>6</c:v>
                </c:pt>
                <c:pt idx="12">
                  <c:v>6</c:v>
                </c:pt>
                <c:pt idx="13">
                  <c:v>6</c:v>
                </c:pt>
                <c:pt idx="14">
                  <c:v>6</c:v>
                </c:pt>
                <c:pt idx="15">
                  <c:v>6</c:v>
                </c:pt>
                <c:pt idx="16">
                  <c:v>6</c:v>
                </c:pt>
              </c:numCache>
            </c:numRef>
          </c:val>
          <c:smooth val="0"/>
          <c:extLst>
            <c:ext xmlns:c16="http://schemas.microsoft.com/office/drawing/2014/chart" uri="{C3380CC4-5D6E-409C-BE32-E72D297353CC}">
              <c16:uniqueId val="{00000000-72F3-45F7-A7CA-D55F0BEECE4F}"/>
            </c:ext>
          </c:extLst>
        </c:ser>
        <c:ser>
          <c:idx val="1"/>
          <c:order val="1"/>
          <c:tx>
            <c:strRef>
              <c:f>'Graphique pollution 2'!$D$22</c:f>
              <c:strCache>
                <c:ptCount val="1"/>
                <c:pt idx="0">
                  <c:v>AG</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2'!$D$23:$D$33</c:f>
              <c:numCache>
                <c:formatCode>0.0</c:formatCode>
                <c:ptCount val="11"/>
                <c:pt idx="5">
                  <c:v>6</c:v>
                </c:pt>
                <c:pt idx="6">
                  <c:v>6</c:v>
                </c:pt>
                <c:pt idx="7">
                  <c:v>6</c:v>
                </c:pt>
                <c:pt idx="8">
                  <c:v>6</c:v>
                </c:pt>
                <c:pt idx="9">
                  <c:v>6</c:v>
                </c:pt>
                <c:pt idx="10">
                  <c:v>6</c:v>
                </c:pt>
              </c:numCache>
            </c:numRef>
          </c:val>
          <c:smooth val="0"/>
          <c:extLst>
            <c:ext xmlns:c16="http://schemas.microsoft.com/office/drawing/2014/chart" uri="{C3380CC4-5D6E-409C-BE32-E72D297353CC}">
              <c16:uniqueId val="{00000001-72F3-45F7-A7CA-D55F0BEECE4F}"/>
            </c:ext>
          </c:extLst>
        </c:ser>
        <c:ser>
          <c:idx val="2"/>
          <c:order val="2"/>
          <c:tx>
            <c:strRef>
              <c:f>'Graphique pollution 2'!$E$22</c:f>
              <c:strCache>
                <c:ptCount val="1"/>
                <c:pt idx="0">
                  <c:v>LB</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2'!$E$23:$E$39</c:f>
              <c:numCache>
                <c:formatCode>0.0</c:formatCode>
                <c:ptCount val="1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numCache>
            </c:numRef>
          </c:val>
          <c:smooth val="0"/>
          <c:extLst>
            <c:ext xmlns:c16="http://schemas.microsoft.com/office/drawing/2014/chart" uri="{C3380CC4-5D6E-409C-BE32-E72D297353CC}">
              <c16:uniqueId val="{00000002-72F3-45F7-A7CA-D55F0BEECE4F}"/>
            </c:ext>
          </c:extLst>
        </c:ser>
        <c:ser>
          <c:idx val="3"/>
          <c:order val="3"/>
          <c:tx>
            <c:strRef>
              <c:f>'Graphique pollution 2'!$F$22</c:f>
              <c:strCache>
                <c:ptCount val="1"/>
                <c:pt idx="0">
                  <c:v>AP</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2'!$F$23:$F$39</c:f>
              <c:numCache>
                <c:formatCode>0.000</c:formatCode>
                <c:ptCount val="17"/>
                <c:pt idx="0">
                  <c:v>3.34</c:v>
                </c:pt>
                <c:pt idx="1">
                  <c:v>3.5</c:v>
                </c:pt>
                <c:pt idx="2">
                  <c:v>3.5</c:v>
                </c:pt>
                <c:pt idx="3">
                  <c:v>3.67</c:v>
                </c:pt>
                <c:pt idx="4">
                  <c:v>3.83</c:v>
                </c:pt>
                <c:pt idx="5">
                  <c:v>4.117</c:v>
                </c:pt>
                <c:pt idx="6">
                  <c:v>4.4260000000000002</c:v>
                </c:pt>
                <c:pt idx="7">
                  <c:v>4.758</c:v>
                </c:pt>
                <c:pt idx="8">
                  <c:v>5.1150000000000002</c:v>
                </c:pt>
                <c:pt idx="9">
                  <c:v>5.4989999999999997</c:v>
                </c:pt>
                <c:pt idx="10">
                  <c:v>5.9109999999999996</c:v>
                </c:pt>
                <c:pt idx="11">
                  <c:v>5.32</c:v>
                </c:pt>
                <c:pt idx="12">
                  <c:v>5.32</c:v>
                </c:pt>
                <c:pt idx="13">
                  <c:v>5.32</c:v>
                </c:pt>
                <c:pt idx="14">
                  <c:v>5.32</c:v>
                </c:pt>
                <c:pt idx="15">
                  <c:v>5.32</c:v>
                </c:pt>
                <c:pt idx="16">
                  <c:v>5.32</c:v>
                </c:pt>
              </c:numCache>
            </c:numRef>
          </c:val>
          <c:smooth val="0"/>
          <c:extLst>
            <c:ext xmlns:c16="http://schemas.microsoft.com/office/drawing/2014/chart" uri="{C3380CC4-5D6E-409C-BE32-E72D297353CC}">
              <c16:uniqueId val="{00000003-72F3-45F7-A7CA-D55F0BEECE4F}"/>
            </c:ext>
          </c:extLst>
        </c:ser>
        <c:ser>
          <c:idx val="4"/>
          <c:order val="4"/>
          <c:tx>
            <c:strRef>
              <c:f>'Graphique pollution 2'!$G$22</c:f>
              <c:strCache>
                <c:ptCount val="1"/>
                <c:pt idx="0">
                  <c:v>RM</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2'!$G$23:$G$39</c:f>
              <c:numCache>
                <c:formatCode>0.0</c:formatCode>
                <c:ptCount val="17"/>
                <c:pt idx="0">
                  <c:v>5</c:v>
                </c:pt>
                <c:pt idx="1">
                  <c:v>5</c:v>
                </c:pt>
                <c:pt idx="2">
                  <c:v>5</c:v>
                </c:pt>
                <c:pt idx="3">
                  <c:v>5</c:v>
                </c:pt>
                <c:pt idx="4">
                  <c:v>5</c:v>
                </c:pt>
                <c:pt idx="5">
                  <c:v>6</c:v>
                </c:pt>
                <c:pt idx="6">
                  <c:v>6</c:v>
                </c:pt>
                <c:pt idx="7">
                  <c:v>6</c:v>
                </c:pt>
                <c:pt idx="8">
                  <c:v>6</c:v>
                </c:pt>
                <c:pt idx="9">
                  <c:v>6</c:v>
                </c:pt>
                <c:pt idx="10">
                  <c:v>6</c:v>
                </c:pt>
                <c:pt idx="11">
                  <c:v>6</c:v>
                </c:pt>
                <c:pt idx="12">
                  <c:v>6</c:v>
                </c:pt>
                <c:pt idx="13">
                  <c:v>6</c:v>
                </c:pt>
                <c:pt idx="14">
                  <c:v>6</c:v>
                </c:pt>
                <c:pt idx="15">
                  <c:v>6</c:v>
                </c:pt>
                <c:pt idx="16">
                  <c:v>6</c:v>
                </c:pt>
              </c:numCache>
            </c:numRef>
          </c:val>
          <c:smooth val="0"/>
          <c:extLst>
            <c:ext xmlns:c16="http://schemas.microsoft.com/office/drawing/2014/chart" uri="{C3380CC4-5D6E-409C-BE32-E72D297353CC}">
              <c16:uniqueId val="{00000004-72F3-45F7-A7CA-D55F0BEECE4F}"/>
            </c:ext>
          </c:extLst>
        </c:ser>
        <c:ser>
          <c:idx val="5"/>
          <c:order val="5"/>
          <c:tx>
            <c:strRef>
              <c:f>'Graphique pollution 2'!$H$22</c:f>
              <c:strCache>
                <c:ptCount val="1"/>
                <c:pt idx="0">
                  <c:v>RMC</c:v>
                </c:pt>
              </c:strCache>
            </c:strRef>
          </c:tx>
          <c:cat>
            <c:numRef>
              <c:f>'Graphique pollution 2'!$B$23:$B$39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2'!$H$23:$H$39</c:f>
              <c:numCache>
                <c:formatCode>0.0</c:formatCode>
                <c:ptCount val="17"/>
                <c:pt idx="0">
                  <c:v>3.7</c:v>
                </c:pt>
                <c:pt idx="1">
                  <c:v>3.7</c:v>
                </c:pt>
                <c:pt idx="2">
                  <c:v>3.7</c:v>
                </c:pt>
                <c:pt idx="3">
                  <c:v>3.7</c:v>
                </c:pt>
                <c:pt idx="4">
                  <c:v>3.7</c:v>
                </c:pt>
                <c:pt idx="5">
                  <c:v>3.7</c:v>
                </c:pt>
                <c:pt idx="6">
                  <c:v>3.7</c:v>
                </c:pt>
                <c:pt idx="7">
                  <c:v>3.7</c:v>
                </c:pt>
                <c:pt idx="8">
                  <c:v>3.7</c:v>
                </c:pt>
                <c:pt idx="9">
                  <c:v>3.7</c:v>
                </c:pt>
                <c:pt idx="10">
                  <c:v>3.7</c:v>
                </c:pt>
                <c:pt idx="11">
                  <c:v>3.7</c:v>
                </c:pt>
                <c:pt idx="12">
                  <c:v>3.7</c:v>
                </c:pt>
                <c:pt idx="13">
                  <c:v>3.7</c:v>
                </c:pt>
                <c:pt idx="14">
                  <c:v>3.7</c:v>
                </c:pt>
                <c:pt idx="15">
                  <c:v>3.7</c:v>
                </c:pt>
                <c:pt idx="16">
                  <c:v>3.7</c:v>
                </c:pt>
              </c:numCache>
            </c:numRef>
          </c:val>
          <c:smooth val="0"/>
          <c:extLst>
            <c:ext xmlns:c16="http://schemas.microsoft.com/office/drawing/2014/chart" uri="{C3380CC4-5D6E-409C-BE32-E72D297353CC}">
              <c16:uniqueId val="{00000005-72F3-45F7-A7CA-D55F0BEECE4F}"/>
            </c:ext>
          </c:extLst>
        </c:ser>
        <c:dLbls>
          <c:showLegendKey val="0"/>
          <c:showVal val="0"/>
          <c:showCatName val="0"/>
          <c:showSerName val="0"/>
          <c:showPercent val="0"/>
          <c:showBubbleSize val="0"/>
        </c:dLbls>
        <c:marker val="1"/>
        <c:smooth val="0"/>
        <c:axId val="91938176"/>
        <c:axId val="91939968"/>
      </c:lineChart>
      <c:catAx>
        <c:axId val="91938176"/>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939968"/>
        <c:crosses val="autoZero"/>
        <c:auto val="1"/>
        <c:lblAlgn val="ctr"/>
        <c:lblOffset val="100"/>
        <c:noMultiLvlLbl val="0"/>
      </c:catAx>
      <c:valAx>
        <c:axId val="91939968"/>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93817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2'!$C$42</c:f>
              <c:strCache>
                <c:ptCount val="1"/>
                <c:pt idx="0">
                  <c:v>AESN</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2'!$C$43:$C$59</c:f>
              <c:numCache>
                <c:formatCode>0.00</c:formatCode>
                <c:ptCount val="17"/>
                <c:pt idx="0">
                  <c:v>8.0500000000000007</c:v>
                </c:pt>
                <c:pt idx="1">
                  <c:v>8.94</c:v>
                </c:pt>
                <c:pt idx="2">
                  <c:v>8.94</c:v>
                </c:pt>
                <c:pt idx="3">
                  <c:v>9.92</c:v>
                </c:pt>
                <c:pt idx="4">
                  <c:v>9.92</c:v>
                </c:pt>
                <c:pt idx="5">
                  <c:v>10</c:v>
                </c:pt>
                <c:pt idx="6">
                  <c:v>11</c:v>
                </c:pt>
                <c:pt idx="7">
                  <c:v>12</c:v>
                </c:pt>
                <c:pt idx="8">
                  <c:v>13</c:v>
                </c:pt>
                <c:pt idx="9">
                  <c:v>14</c:v>
                </c:pt>
                <c:pt idx="10">
                  <c:v>15</c:v>
                </c:pt>
                <c:pt idx="11">
                  <c:v>15</c:v>
                </c:pt>
                <c:pt idx="12">
                  <c:v>15</c:v>
                </c:pt>
                <c:pt idx="13">
                  <c:v>15</c:v>
                </c:pt>
                <c:pt idx="14">
                  <c:v>15</c:v>
                </c:pt>
                <c:pt idx="15">
                  <c:v>15</c:v>
                </c:pt>
                <c:pt idx="16">
                  <c:v>15</c:v>
                </c:pt>
              </c:numCache>
            </c:numRef>
          </c:val>
          <c:smooth val="0"/>
          <c:extLst>
            <c:ext xmlns:c16="http://schemas.microsoft.com/office/drawing/2014/chart" uri="{C3380CC4-5D6E-409C-BE32-E72D297353CC}">
              <c16:uniqueId val="{00000000-F4BC-418E-A971-BB5E21788437}"/>
            </c:ext>
          </c:extLst>
        </c:ser>
        <c:ser>
          <c:idx val="1"/>
          <c:order val="1"/>
          <c:tx>
            <c:strRef>
              <c:f>'Graphique pollution 2'!$D$42</c:f>
              <c:strCache>
                <c:ptCount val="1"/>
                <c:pt idx="0">
                  <c:v>AG</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2'!$D$43:$D$59</c:f>
              <c:numCache>
                <c:formatCode>0.000</c:formatCode>
                <c:ptCount val="17"/>
                <c:pt idx="0">
                  <c:v>4.5</c:v>
                </c:pt>
                <c:pt idx="1">
                  <c:v>4.6349999999999998</c:v>
                </c:pt>
                <c:pt idx="2">
                  <c:v>5.2039999999999997</c:v>
                </c:pt>
                <c:pt idx="3">
                  <c:v>5.8419999999999996</c:v>
                </c:pt>
                <c:pt idx="4">
                  <c:v>6.5590000000000002</c:v>
                </c:pt>
                <c:pt idx="5" formatCode="0.00">
                  <c:v>6.7</c:v>
                </c:pt>
                <c:pt idx="6" formatCode="0.00">
                  <c:v>6.8</c:v>
                </c:pt>
                <c:pt idx="7" formatCode="0.00">
                  <c:v>7</c:v>
                </c:pt>
                <c:pt idx="8" formatCode="0.00">
                  <c:v>7.1</c:v>
                </c:pt>
                <c:pt idx="9" formatCode="0.00">
                  <c:v>7.2</c:v>
                </c:pt>
                <c:pt idx="10" formatCode="0.00">
                  <c:v>7.4</c:v>
                </c:pt>
                <c:pt idx="11" formatCode="0.00">
                  <c:v>7.4</c:v>
                </c:pt>
                <c:pt idx="12" formatCode="0.00">
                  <c:v>7.4</c:v>
                </c:pt>
                <c:pt idx="13" formatCode="0.00">
                  <c:v>7.4</c:v>
                </c:pt>
                <c:pt idx="14" formatCode="0.00">
                  <c:v>7.4</c:v>
                </c:pt>
                <c:pt idx="15" formatCode="0.00">
                  <c:v>7.4</c:v>
                </c:pt>
                <c:pt idx="16" formatCode="0.00">
                  <c:v>7.4</c:v>
                </c:pt>
              </c:numCache>
            </c:numRef>
          </c:val>
          <c:smooth val="0"/>
          <c:extLst>
            <c:ext xmlns:c16="http://schemas.microsoft.com/office/drawing/2014/chart" uri="{C3380CC4-5D6E-409C-BE32-E72D297353CC}">
              <c16:uniqueId val="{00000001-F4BC-418E-A971-BB5E21788437}"/>
            </c:ext>
          </c:extLst>
        </c:ser>
        <c:ser>
          <c:idx val="2"/>
          <c:order val="2"/>
          <c:tx>
            <c:strRef>
              <c:f>'Graphique pollution 2'!$E$42</c:f>
              <c:strCache>
                <c:ptCount val="1"/>
                <c:pt idx="0">
                  <c:v>LB</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2'!$E$43:$E$59</c:f>
              <c:numCache>
                <c:formatCode>0.0</c:formatCode>
                <c:ptCount val="17"/>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numCache>
            </c:numRef>
          </c:val>
          <c:smooth val="0"/>
          <c:extLst>
            <c:ext xmlns:c16="http://schemas.microsoft.com/office/drawing/2014/chart" uri="{C3380CC4-5D6E-409C-BE32-E72D297353CC}">
              <c16:uniqueId val="{00000002-F4BC-418E-A971-BB5E21788437}"/>
            </c:ext>
          </c:extLst>
        </c:ser>
        <c:ser>
          <c:idx val="3"/>
          <c:order val="3"/>
          <c:tx>
            <c:strRef>
              <c:f>'Graphique pollution 2'!$F$42</c:f>
              <c:strCache>
                <c:ptCount val="1"/>
                <c:pt idx="0">
                  <c:v>AP</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2'!$F$43:$F$59</c:f>
              <c:numCache>
                <c:formatCode>0.0</c:formatCode>
                <c:ptCount val="17"/>
                <c:pt idx="0" formatCode="0.00">
                  <c:v>8.5</c:v>
                </c:pt>
                <c:pt idx="1">
                  <c:v>9</c:v>
                </c:pt>
                <c:pt idx="2">
                  <c:v>9</c:v>
                </c:pt>
                <c:pt idx="3" formatCode="0.00">
                  <c:v>9.5</c:v>
                </c:pt>
                <c:pt idx="4">
                  <c:v>10</c:v>
                </c:pt>
                <c:pt idx="5">
                  <c:v>11</c:v>
                </c:pt>
                <c:pt idx="6">
                  <c:v>12</c:v>
                </c:pt>
                <c:pt idx="7" formatCode="0.000">
                  <c:v>13.31</c:v>
                </c:pt>
                <c:pt idx="8" formatCode="0.000">
                  <c:v>14.641</c:v>
                </c:pt>
                <c:pt idx="9" formatCode="0.000">
                  <c:v>16.105</c:v>
                </c:pt>
                <c:pt idx="10" formatCode="0.000">
                  <c:v>17.716000000000001</c:v>
                </c:pt>
                <c:pt idx="11" formatCode="0.000">
                  <c:v>15.944000000000001</c:v>
                </c:pt>
                <c:pt idx="12" formatCode="0.000">
                  <c:v>15.944000000000001</c:v>
                </c:pt>
                <c:pt idx="13" formatCode="0.000">
                  <c:v>15.944000000000001</c:v>
                </c:pt>
                <c:pt idx="14" formatCode="0.000">
                  <c:v>15.944000000000001</c:v>
                </c:pt>
                <c:pt idx="15" formatCode="0.000">
                  <c:v>15.944000000000001</c:v>
                </c:pt>
                <c:pt idx="16" formatCode="0.000">
                  <c:v>15.944000000000001</c:v>
                </c:pt>
              </c:numCache>
            </c:numRef>
          </c:val>
          <c:smooth val="0"/>
          <c:extLst>
            <c:ext xmlns:c16="http://schemas.microsoft.com/office/drawing/2014/chart" uri="{C3380CC4-5D6E-409C-BE32-E72D297353CC}">
              <c16:uniqueId val="{00000003-F4BC-418E-A971-BB5E21788437}"/>
            </c:ext>
          </c:extLst>
        </c:ser>
        <c:ser>
          <c:idx val="4"/>
          <c:order val="4"/>
          <c:tx>
            <c:strRef>
              <c:f>'Graphique pollution 2'!$G$42</c:f>
              <c:strCache>
                <c:ptCount val="1"/>
                <c:pt idx="0">
                  <c:v>RM</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2'!$G$43:$G$59</c:f>
              <c:numCache>
                <c:formatCode>0.00</c:formatCode>
                <c:ptCount val="17"/>
                <c:pt idx="0">
                  <c:v>8.0500000000000007</c:v>
                </c:pt>
                <c:pt idx="1">
                  <c:v>8.0500000000000007</c:v>
                </c:pt>
                <c:pt idx="2" formatCode="0.0000">
                  <c:v>8.2110000000000003</c:v>
                </c:pt>
                <c:pt idx="3" formatCode="0.0000">
                  <c:v>8.2110000000000003</c:v>
                </c:pt>
                <c:pt idx="4" formatCode="0.0000">
                  <c:v>8.2110000000000003</c:v>
                </c:pt>
                <c:pt idx="5" formatCode="0.0000">
                  <c:v>8.9448000000000008</c:v>
                </c:pt>
                <c:pt idx="6" formatCode="0.0000">
                  <c:v>9.6785999999999994</c:v>
                </c:pt>
                <c:pt idx="7" formatCode="0.0000">
                  <c:v>10.4124</c:v>
                </c:pt>
                <c:pt idx="8" formatCode="0.0000">
                  <c:v>11.1462</c:v>
                </c:pt>
                <c:pt idx="9">
                  <c:v>11.88</c:v>
                </c:pt>
                <c:pt idx="10">
                  <c:v>11.88</c:v>
                </c:pt>
                <c:pt idx="11">
                  <c:v>11.88</c:v>
                </c:pt>
                <c:pt idx="12">
                  <c:v>11.88</c:v>
                </c:pt>
                <c:pt idx="13">
                  <c:v>11.88</c:v>
                </c:pt>
                <c:pt idx="14">
                  <c:v>11.88</c:v>
                </c:pt>
                <c:pt idx="15">
                  <c:v>11.88</c:v>
                </c:pt>
                <c:pt idx="16">
                  <c:v>11.88</c:v>
                </c:pt>
              </c:numCache>
            </c:numRef>
          </c:val>
          <c:smooth val="0"/>
          <c:extLst>
            <c:ext xmlns:c16="http://schemas.microsoft.com/office/drawing/2014/chart" uri="{C3380CC4-5D6E-409C-BE32-E72D297353CC}">
              <c16:uniqueId val="{00000004-F4BC-418E-A971-BB5E21788437}"/>
            </c:ext>
          </c:extLst>
        </c:ser>
        <c:ser>
          <c:idx val="5"/>
          <c:order val="5"/>
          <c:tx>
            <c:strRef>
              <c:f>'Graphique pollution 2'!$H$42</c:f>
              <c:strCache>
                <c:ptCount val="1"/>
                <c:pt idx="0">
                  <c:v>RMC</c:v>
                </c:pt>
              </c:strCache>
            </c:strRef>
          </c:tx>
          <c:cat>
            <c:numRef>
              <c:f>'Graphique pollution 2'!$B$43:$B$59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2'!$H$43:$H$59</c:f>
              <c:numCache>
                <c:formatCode>0.0</c:formatCode>
                <c:ptCount val="17"/>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numCache>
            </c:numRef>
          </c:val>
          <c:smooth val="0"/>
          <c:extLst>
            <c:ext xmlns:c16="http://schemas.microsoft.com/office/drawing/2014/chart" uri="{C3380CC4-5D6E-409C-BE32-E72D297353CC}">
              <c16:uniqueId val="{00000005-F4BC-418E-A971-BB5E21788437}"/>
            </c:ext>
          </c:extLst>
        </c:ser>
        <c:dLbls>
          <c:showLegendKey val="0"/>
          <c:showVal val="0"/>
          <c:showCatName val="0"/>
          <c:showSerName val="0"/>
          <c:showPercent val="0"/>
          <c:showBubbleSize val="0"/>
        </c:dLbls>
        <c:marker val="1"/>
        <c:smooth val="0"/>
        <c:axId val="92070656"/>
        <c:axId val="92072192"/>
      </c:lineChart>
      <c:catAx>
        <c:axId val="92070656"/>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072192"/>
        <c:crosses val="autoZero"/>
        <c:auto val="1"/>
        <c:lblAlgn val="ctr"/>
        <c:lblOffset val="100"/>
        <c:noMultiLvlLbl val="0"/>
      </c:catAx>
      <c:valAx>
        <c:axId val="9207219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070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2'!$C$62</c:f>
              <c:strCache>
                <c:ptCount val="1"/>
                <c:pt idx="0">
                  <c:v>AESN</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2'!$C$63:$C$79</c:f>
              <c:numCache>
                <c:formatCode>0.0</c:formatCode>
                <c:ptCount val="17"/>
                <c:pt idx="0">
                  <c:v>25</c:v>
                </c:pt>
                <c:pt idx="1">
                  <c:v>25</c:v>
                </c:pt>
                <c:pt idx="2">
                  <c:v>25</c:v>
                </c:pt>
                <c:pt idx="3">
                  <c:v>25</c:v>
                </c:pt>
                <c:pt idx="4">
                  <c:v>25</c:v>
                </c:pt>
                <c:pt idx="5">
                  <c:v>25</c:v>
                </c:pt>
                <c:pt idx="6">
                  <c:v>26</c:v>
                </c:pt>
                <c:pt idx="7">
                  <c:v>27</c:v>
                </c:pt>
                <c:pt idx="8">
                  <c:v>28</c:v>
                </c:pt>
                <c:pt idx="9">
                  <c:v>29</c:v>
                </c:pt>
                <c:pt idx="10">
                  <c:v>30</c:v>
                </c:pt>
                <c:pt idx="11">
                  <c:v>30</c:v>
                </c:pt>
                <c:pt idx="12">
                  <c:v>30</c:v>
                </c:pt>
                <c:pt idx="13">
                  <c:v>30</c:v>
                </c:pt>
                <c:pt idx="14">
                  <c:v>30</c:v>
                </c:pt>
                <c:pt idx="15">
                  <c:v>30</c:v>
                </c:pt>
                <c:pt idx="16">
                  <c:v>30</c:v>
                </c:pt>
              </c:numCache>
            </c:numRef>
          </c:val>
          <c:smooth val="0"/>
          <c:extLst>
            <c:ext xmlns:c16="http://schemas.microsoft.com/office/drawing/2014/chart" uri="{C3380CC4-5D6E-409C-BE32-E72D297353CC}">
              <c16:uniqueId val="{00000000-968E-42A6-97A9-01203117CDA5}"/>
            </c:ext>
          </c:extLst>
        </c:ser>
        <c:ser>
          <c:idx val="1"/>
          <c:order val="1"/>
          <c:tx>
            <c:strRef>
              <c:f>'Graphique pollution 2'!$D$62</c:f>
              <c:strCache>
                <c:ptCount val="1"/>
                <c:pt idx="0">
                  <c:v>AG</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2'!$D$63:$D$73</c:f>
              <c:numCache>
                <c:formatCode>0.000</c:formatCode>
                <c:ptCount val="11"/>
                <c:pt idx="5" formatCode="0.0">
                  <c:v>30</c:v>
                </c:pt>
                <c:pt idx="6" formatCode="0.0">
                  <c:v>30</c:v>
                </c:pt>
                <c:pt idx="7" formatCode="0.0">
                  <c:v>30</c:v>
                </c:pt>
                <c:pt idx="8" formatCode="0.0">
                  <c:v>30</c:v>
                </c:pt>
                <c:pt idx="9" formatCode="0.0">
                  <c:v>30</c:v>
                </c:pt>
                <c:pt idx="10" formatCode="0.0">
                  <c:v>30</c:v>
                </c:pt>
              </c:numCache>
            </c:numRef>
          </c:val>
          <c:smooth val="0"/>
          <c:extLst>
            <c:ext xmlns:c16="http://schemas.microsoft.com/office/drawing/2014/chart" uri="{C3380CC4-5D6E-409C-BE32-E72D297353CC}">
              <c16:uniqueId val="{00000001-968E-42A6-97A9-01203117CDA5}"/>
            </c:ext>
          </c:extLst>
        </c:ser>
        <c:ser>
          <c:idx val="2"/>
          <c:order val="2"/>
          <c:tx>
            <c:strRef>
              <c:f>'Graphique pollution 2'!$E$62</c:f>
              <c:strCache>
                <c:ptCount val="1"/>
                <c:pt idx="0">
                  <c:v>LB</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2'!$E$63:$E$79</c:f>
              <c:numCache>
                <c:formatCode>0.0</c:formatCode>
                <c:ptCount val="17"/>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numCache>
            </c:numRef>
          </c:val>
          <c:smooth val="0"/>
          <c:extLst>
            <c:ext xmlns:c16="http://schemas.microsoft.com/office/drawing/2014/chart" uri="{C3380CC4-5D6E-409C-BE32-E72D297353CC}">
              <c16:uniqueId val="{00000002-968E-42A6-97A9-01203117CDA5}"/>
            </c:ext>
          </c:extLst>
        </c:ser>
        <c:ser>
          <c:idx val="3"/>
          <c:order val="3"/>
          <c:tx>
            <c:strRef>
              <c:f>'Graphique pollution 2'!$F$62</c:f>
              <c:strCache>
                <c:ptCount val="1"/>
                <c:pt idx="0">
                  <c:v>AP</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2'!$F$63:$F$79</c:f>
              <c:numCache>
                <c:formatCode>0.0</c:formatCode>
                <c:ptCount val="17"/>
                <c:pt idx="0" formatCode="0.000">
                  <c:v>14.17</c:v>
                </c:pt>
                <c:pt idx="1">
                  <c:v>15</c:v>
                </c:pt>
                <c:pt idx="2">
                  <c:v>15</c:v>
                </c:pt>
                <c:pt idx="3" formatCode="0.000">
                  <c:v>15.83</c:v>
                </c:pt>
                <c:pt idx="4" formatCode="0.000">
                  <c:v>16.670000000000002</c:v>
                </c:pt>
                <c:pt idx="5" formatCode="0.000">
                  <c:v>18.337</c:v>
                </c:pt>
                <c:pt idx="6" formatCode="0.000">
                  <c:v>20.170999999999999</c:v>
                </c:pt>
                <c:pt idx="7" formatCode="0.000">
                  <c:v>22.187999999999999</c:v>
                </c:pt>
                <c:pt idx="8" formatCode="0.000">
                  <c:v>24.407</c:v>
                </c:pt>
                <c:pt idx="9" formatCode="0.000">
                  <c:v>26.847999999999999</c:v>
                </c:pt>
                <c:pt idx="10" formatCode="0.000">
                  <c:v>29.553000000000001</c:v>
                </c:pt>
                <c:pt idx="11" formatCode="0.000">
                  <c:v>26.58</c:v>
                </c:pt>
                <c:pt idx="12" formatCode="0.000">
                  <c:v>26.58</c:v>
                </c:pt>
                <c:pt idx="13" formatCode="0.000">
                  <c:v>26.58</c:v>
                </c:pt>
                <c:pt idx="14" formatCode="0.000">
                  <c:v>26.58</c:v>
                </c:pt>
                <c:pt idx="15" formatCode="0.000">
                  <c:v>26.58</c:v>
                </c:pt>
                <c:pt idx="16" formatCode="0.000">
                  <c:v>26.58</c:v>
                </c:pt>
              </c:numCache>
            </c:numRef>
          </c:val>
          <c:smooth val="0"/>
          <c:extLst>
            <c:ext xmlns:c16="http://schemas.microsoft.com/office/drawing/2014/chart" uri="{C3380CC4-5D6E-409C-BE32-E72D297353CC}">
              <c16:uniqueId val="{00000003-968E-42A6-97A9-01203117CDA5}"/>
            </c:ext>
          </c:extLst>
        </c:ser>
        <c:ser>
          <c:idx val="4"/>
          <c:order val="4"/>
          <c:tx>
            <c:strRef>
              <c:f>'Graphique pollution 2'!$G$62</c:f>
              <c:strCache>
                <c:ptCount val="1"/>
                <c:pt idx="0">
                  <c:v>RM</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2'!$G$63:$G$79</c:f>
              <c:numCache>
                <c:formatCode>0.0</c:formatCode>
                <c:ptCount val="17"/>
                <c:pt idx="0">
                  <c:v>25</c:v>
                </c:pt>
                <c:pt idx="1">
                  <c:v>25</c:v>
                </c:pt>
                <c:pt idx="2">
                  <c:v>25</c:v>
                </c:pt>
                <c:pt idx="3">
                  <c:v>25</c:v>
                </c:pt>
                <c:pt idx="4">
                  <c:v>25</c:v>
                </c:pt>
                <c:pt idx="5">
                  <c:v>30</c:v>
                </c:pt>
                <c:pt idx="6">
                  <c:v>30</c:v>
                </c:pt>
                <c:pt idx="7">
                  <c:v>30</c:v>
                </c:pt>
                <c:pt idx="8">
                  <c:v>30</c:v>
                </c:pt>
                <c:pt idx="9">
                  <c:v>30</c:v>
                </c:pt>
                <c:pt idx="10">
                  <c:v>30</c:v>
                </c:pt>
                <c:pt idx="11">
                  <c:v>30</c:v>
                </c:pt>
                <c:pt idx="12">
                  <c:v>30</c:v>
                </c:pt>
                <c:pt idx="13">
                  <c:v>30</c:v>
                </c:pt>
                <c:pt idx="14">
                  <c:v>30</c:v>
                </c:pt>
                <c:pt idx="15">
                  <c:v>30</c:v>
                </c:pt>
                <c:pt idx="16">
                  <c:v>30</c:v>
                </c:pt>
              </c:numCache>
            </c:numRef>
          </c:val>
          <c:smooth val="0"/>
          <c:extLst>
            <c:ext xmlns:c16="http://schemas.microsoft.com/office/drawing/2014/chart" uri="{C3380CC4-5D6E-409C-BE32-E72D297353CC}">
              <c16:uniqueId val="{00000004-968E-42A6-97A9-01203117CDA5}"/>
            </c:ext>
          </c:extLst>
        </c:ser>
        <c:ser>
          <c:idx val="5"/>
          <c:order val="5"/>
          <c:tx>
            <c:strRef>
              <c:f>'Graphique pollution 2'!$H$62</c:f>
              <c:strCache>
                <c:ptCount val="1"/>
                <c:pt idx="0">
                  <c:v>RMC</c:v>
                </c:pt>
              </c:strCache>
            </c:strRef>
          </c:tx>
          <c:cat>
            <c:numRef>
              <c:f>'Graphique pollution 2'!$B$63:$B$79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2'!$H$63:$H$79</c:f>
              <c:numCache>
                <c:formatCode>0.0</c:formatCode>
                <c:ptCount val="17"/>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numCache>
            </c:numRef>
          </c:val>
          <c:smooth val="0"/>
          <c:extLst>
            <c:ext xmlns:c16="http://schemas.microsoft.com/office/drawing/2014/chart" uri="{C3380CC4-5D6E-409C-BE32-E72D297353CC}">
              <c16:uniqueId val="{00000005-968E-42A6-97A9-01203117CDA5}"/>
            </c:ext>
          </c:extLst>
        </c:ser>
        <c:dLbls>
          <c:showLegendKey val="0"/>
          <c:showVal val="0"/>
          <c:showCatName val="0"/>
          <c:showSerName val="0"/>
          <c:showPercent val="0"/>
          <c:showBubbleSize val="0"/>
        </c:dLbls>
        <c:marker val="1"/>
        <c:smooth val="0"/>
        <c:axId val="92186496"/>
        <c:axId val="92188032"/>
      </c:lineChart>
      <c:catAx>
        <c:axId val="92186496"/>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188032"/>
        <c:crosses val="autoZero"/>
        <c:auto val="1"/>
        <c:lblAlgn val="ctr"/>
        <c:lblOffset val="100"/>
        <c:noMultiLvlLbl val="0"/>
      </c:catAx>
      <c:valAx>
        <c:axId val="92188032"/>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18649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2'!$C$82</c:f>
              <c:strCache>
                <c:ptCount val="1"/>
                <c:pt idx="0">
                  <c:v>AESN</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2'!$C$83:$C$99</c:f>
              <c:numCache>
                <c:formatCode>0.00</c:formatCode>
                <c:ptCount val="17"/>
                <c:pt idx="0">
                  <c:v>2.36</c:v>
                </c:pt>
                <c:pt idx="1">
                  <c:v>2.36</c:v>
                </c:pt>
                <c:pt idx="2">
                  <c:v>2.36</c:v>
                </c:pt>
                <c:pt idx="3">
                  <c:v>2.36</c:v>
                </c:pt>
                <c:pt idx="4">
                  <c:v>2.36</c:v>
                </c:pt>
                <c:pt idx="5">
                  <c:v>3</c:v>
                </c:pt>
                <c:pt idx="6">
                  <c:v>4</c:v>
                </c:pt>
                <c:pt idx="7">
                  <c:v>4.5</c:v>
                </c:pt>
                <c:pt idx="8">
                  <c:v>5.5</c:v>
                </c:pt>
                <c:pt idx="9">
                  <c:v>6.5</c:v>
                </c:pt>
                <c:pt idx="10">
                  <c:v>7</c:v>
                </c:pt>
                <c:pt idx="11">
                  <c:v>7</c:v>
                </c:pt>
                <c:pt idx="12">
                  <c:v>7</c:v>
                </c:pt>
                <c:pt idx="13">
                  <c:v>7</c:v>
                </c:pt>
                <c:pt idx="14">
                  <c:v>7</c:v>
                </c:pt>
                <c:pt idx="15">
                  <c:v>7</c:v>
                </c:pt>
                <c:pt idx="16">
                  <c:v>7</c:v>
                </c:pt>
              </c:numCache>
            </c:numRef>
          </c:val>
          <c:smooth val="0"/>
          <c:extLst>
            <c:ext xmlns:c16="http://schemas.microsoft.com/office/drawing/2014/chart" uri="{C3380CC4-5D6E-409C-BE32-E72D297353CC}">
              <c16:uniqueId val="{00000000-C151-46E3-968E-65D1D272FDD6}"/>
            </c:ext>
          </c:extLst>
        </c:ser>
        <c:ser>
          <c:idx val="1"/>
          <c:order val="1"/>
          <c:tx>
            <c:strRef>
              <c:f>'Graphique pollution 2'!$D$82</c:f>
              <c:strCache>
                <c:ptCount val="1"/>
                <c:pt idx="0">
                  <c:v>AG</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2'!$D$83:$D$99</c:f>
              <c:numCache>
                <c:formatCode>0.000</c:formatCode>
                <c:ptCount val="17"/>
                <c:pt idx="0">
                  <c:v>0.5</c:v>
                </c:pt>
                <c:pt idx="1">
                  <c:v>0.58699999999999997</c:v>
                </c:pt>
                <c:pt idx="2">
                  <c:v>0.65900000000000003</c:v>
                </c:pt>
                <c:pt idx="3">
                  <c:v>0.74</c:v>
                </c:pt>
                <c:pt idx="4">
                  <c:v>0.83099999999999996</c:v>
                </c:pt>
                <c:pt idx="5">
                  <c:v>0.85</c:v>
                </c:pt>
                <c:pt idx="6">
                  <c:v>0.86</c:v>
                </c:pt>
                <c:pt idx="7">
                  <c:v>0.88</c:v>
                </c:pt>
                <c:pt idx="8">
                  <c:v>0.9</c:v>
                </c:pt>
                <c:pt idx="9">
                  <c:v>0.92</c:v>
                </c:pt>
                <c:pt idx="10">
                  <c:v>0.94</c:v>
                </c:pt>
                <c:pt idx="11">
                  <c:v>0.94</c:v>
                </c:pt>
                <c:pt idx="12">
                  <c:v>0.94</c:v>
                </c:pt>
                <c:pt idx="13">
                  <c:v>0.94</c:v>
                </c:pt>
                <c:pt idx="14">
                  <c:v>0.94</c:v>
                </c:pt>
                <c:pt idx="15">
                  <c:v>0.94</c:v>
                </c:pt>
                <c:pt idx="16">
                  <c:v>0.94</c:v>
                </c:pt>
              </c:numCache>
            </c:numRef>
          </c:val>
          <c:smooth val="0"/>
          <c:extLst>
            <c:ext xmlns:c16="http://schemas.microsoft.com/office/drawing/2014/chart" uri="{C3380CC4-5D6E-409C-BE32-E72D297353CC}">
              <c16:uniqueId val="{00000001-C151-46E3-968E-65D1D272FDD6}"/>
            </c:ext>
          </c:extLst>
        </c:ser>
        <c:ser>
          <c:idx val="2"/>
          <c:order val="2"/>
          <c:tx>
            <c:strRef>
              <c:f>'Graphique pollution 2'!$E$82</c:f>
              <c:strCache>
                <c:ptCount val="1"/>
                <c:pt idx="0">
                  <c:v>LB</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2'!$E$83:$E$99</c:f>
              <c:numCache>
                <c:formatCode>0.000</c:formatCode>
                <c:ptCount val="17"/>
                <c:pt idx="0">
                  <c:v>0</c:v>
                </c:pt>
                <c:pt idx="1">
                  <c:v>0</c:v>
                </c:pt>
                <c:pt idx="2">
                  <c:v>0</c:v>
                </c:pt>
                <c:pt idx="3">
                  <c:v>0</c:v>
                </c:pt>
                <c:pt idx="4">
                  <c:v>0</c:v>
                </c:pt>
                <c:pt idx="5">
                  <c:v>0</c:v>
                </c:pt>
                <c:pt idx="6">
                  <c:v>0</c:v>
                </c:pt>
                <c:pt idx="7">
                  <c:v>0</c:v>
                </c:pt>
                <c:pt idx="8">
                  <c:v>0</c:v>
                </c:pt>
                <c:pt idx="9">
                  <c:v>0</c:v>
                </c:pt>
                <c:pt idx="10">
                  <c:v>0</c:v>
                </c:pt>
                <c:pt idx="11">
                  <c:v>1.63</c:v>
                </c:pt>
                <c:pt idx="12">
                  <c:v>1.63</c:v>
                </c:pt>
                <c:pt idx="13">
                  <c:v>3.25</c:v>
                </c:pt>
                <c:pt idx="14">
                  <c:v>3.25</c:v>
                </c:pt>
                <c:pt idx="15">
                  <c:v>3.25</c:v>
                </c:pt>
                <c:pt idx="16">
                  <c:v>3.25</c:v>
                </c:pt>
              </c:numCache>
            </c:numRef>
          </c:val>
          <c:smooth val="0"/>
          <c:extLst>
            <c:ext xmlns:c16="http://schemas.microsoft.com/office/drawing/2014/chart" uri="{C3380CC4-5D6E-409C-BE32-E72D297353CC}">
              <c16:uniqueId val="{00000002-C151-46E3-968E-65D1D272FDD6}"/>
            </c:ext>
          </c:extLst>
        </c:ser>
        <c:ser>
          <c:idx val="3"/>
          <c:order val="3"/>
          <c:tx>
            <c:strRef>
              <c:f>'Graphique pollution 2'!$F$82</c:f>
              <c:strCache>
                <c:ptCount val="1"/>
                <c:pt idx="0">
                  <c:v>AP</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2'!$F$83:$F$99</c:f>
              <c:numCache>
                <c:formatCode>0.0</c:formatCode>
                <c:ptCount val="17"/>
                <c:pt idx="0">
                  <c:v>5</c:v>
                </c:pt>
                <c:pt idx="1">
                  <c:v>6</c:v>
                </c:pt>
                <c:pt idx="2">
                  <c:v>6</c:v>
                </c:pt>
                <c:pt idx="3">
                  <c:v>7</c:v>
                </c:pt>
                <c:pt idx="4">
                  <c:v>8</c:v>
                </c:pt>
                <c:pt idx="5" formatCode="0.00">
                  <c:v>8.4</c:v>
                </c:pt>
                <c:pt idx="6" formatCode="0.000">
                  <c:v>8.82</c:v>
                </c:pt>
                <c:pt idx="7" formatCode="0.000">
                  <c:v>9.2609999999999992</c:v>
                </c:pt>
                <c:pt idx="8" formatCode="0.000">
                  <c:v>9.7240000000000002</c:v>
                </c:pt>
                <c:pt idx="9" formatCode="0.000">
                  <c:v>10.210000000000001</c:v>
                </c:pt>
                <c:pt idx="10" formatCode="0.000">
                  <c:v>10.721</c:v>
                </c:pt>
                <c:pt idx="11" formatCode="0.000">
                  <c:v>9.6489999999999991</c:v>
                </c:pt>
                <c:pt idx="12" formatCode="0.000">
                  <c:v>9.6489999999999991</c:v>
                </c:pt>
                <c:pt idx="13" formatCode="0.000">
                  <c:v>9.6489999999999991</c:v>
                </c:pt>
                <c:pt idx="14" formatCode="0.000">
                  <c:v>9.6489999999999991</c:v>
                </c:pt>
                <c:pt idx="15" formatCode="0.000">
                  <c:v>9.6489999999999991</c:v>
                </c:pt>
                <c:pt idx="16" formatCode="0.000">
                  <c:v>9.6489999999999991</c:v>
                </c:pt>
              </c:numCache>
            </c:numRef>
          </c:val>
          <c:smooth val="0"/>
          <c:extLst>
            <c:ext xmlns:c16="http://schemas.microsoft.com/office/drawing/2014/chart" uri="{C3380CC4-5D6E-409C-BE32-E72D297353CC}">
              <c16:uniqueId val="{00000003-C151-46E3-968E-65D1D272FDD6}"/>
            </c:ext>
          </c:extLst>
        </c:ser>
        <c:ser>
          <c:idx val="4"/>
          <c:order val="4"/>
          <c:tx>
            <c:strRef>
              <c:f>'Graphique pollution 2'!$G$82</c:f>
              <c:strCache>
                <c:ptCount val="1"/>
                <c:pt idx="0">
                  <c:v>RM</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2'!$G$83:$G$99</c:f>
              <c:numCache>
                <c:formatCode>0.000</c:formatCode>
                <c:ptCount val="17"/>
                <c:pt idx="0">
                  <c:v>6.9770000000000003</c:v>
                </c:pt>
                <c:pt idx="1">
                  <c:v>6.9770000000000003</c:v>
                </c:pt>
                <c:pt idx="2">
                  <c:v>7.117</c:v>
                </c:pt>
                <c:pt idx="3">
                  <c:v>7.117</c:v>
                </c:pt>
                <c:pt idx="4">
                  <c:v>7.117</c:v>
                </c:pt>
                <c:pt idx="5">
                  <c:v>7.4096000000000002</c:v>
                </c:pt>
                <c:pt idx="6">
                  <c:v>7.7022000000000004</c:v>
                </c:pt>
                <c:pt idx="7">
                  <c:v>7.9947999999999997</c:v>
                </c:pt>
                <c:pt idx="8">
                  <c:v>8.2873999999999999</c:v>
                </c:pt>
                <c:pt idx="9">
                  <c:v>8.58</c:v>
                </c:pt>
                <c:pt idx="10">
                  <c:v>8.58</c:v>
                </c:pt>
                <c:pt idx="11">
                  <c:v>8.58</c:v>
                </c:pt>
                <c:pt idx="12">
                  <c:v>8.58</c:v>
                </c:pt>
                <c:pt idx="13">
                  <c:v>8.58</c:v>
                </c:pt>
                <c:pt idx="14">
                  <c:v>8.58</c:v>
                </c:pt>
                <c:pt idx="15">
                  <c:v>8.58</c:v>
                </c:pt>
                <c:pt idx="16">
                  <c:v>8.58</c:v>
                </c:pt>
              </c:numCache>
            </c:numRef>
          </c:val>
          <c:smooth val="0"/>
          <c:extLst>
            <c:ext xmlns:c16="http://schemas.microsoft.com/office/drawing/2014/chart" uri="{C3380CC4-5D6E-409C-BE32-E72D297353CC}">
              <c16:uniqueId val="{00000004-C151-46E3-968E-65D1D272FDD6}"/>
            </c:ext>
          </c:extLst>
        </c:ser>
        <c:ser>
          <c:idx val="5"/>
          <c:order val="5"/>
          <c:tx>
            <c:strRef>
              <c:f>'Graphique pollution 2'!$H$82</c:f>
              <c:strCache>
                <c:ptCount val="1"/>
                <c:pt idx="0">
                  <c:v>RMC</c:v>
                </c:pt>
              </c:strCache>
            </c:strRef>
          </c:tx>
          <c:cat>
            <c:numRef>
              <c:f>'Graphique pollution 2'!$B$83:$B$99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2'!$H$83:$H$99</c:f>
              <c:numCache>
                <c:formatCode>0.0</c:formatCode>
                <c:ptCount val="17"/>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numCache>
            </c:numRef>
          </c:val>
          <c:smooth val="0"/>
          <c:extLst>
            <c:ext xmlns:c16="http://schemas.microsoft.com/office/drawing/2014/chart" uri="{C3380CC4-5D6E-409C-BE32-E72D297353CC}">
              <c16:uniqueId val="{00000005-C151-46E3-968E-65D1D272FDD6}"/>
            </c:ext>
          </c:extLst>
        </c:ser>
        <c:dLbls>
          <c:showLegendKey val="0"/>
          <c:showVal val="0"/>
          <c:showCatName val="0"/>
          <c:showSerName val="0"/>
          <c:showPercent val="0"/>
          <c:showBubbleSize val="0"/>
        </c:dLbls>
        <c:marker val="1"/>
        <c:smooth val="0"/>
        <c:axId val="92236800"/>
        <c:axId val="92250880"/>
      </c:lineChart>
      <c:catAx>
        <c:axId val="92236800"/>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250880"/>
        <c:crosses val="autoZero"/>
        <c:auto val="1"/>
        <c:lblAlgn val="ctr"/>
        <c:lblOffset val="100"/>
        <c:noMultiLvlLbl val="0"/>
      </c:catAx>
      <c:valAx>
        <c:axId val="9225088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23680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2'!$C$122</c:f>
              <c:strCache>
                <c:ptCount val="1"/>
                <c:pt idx="0">
                  <c:v>AESN</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2'!$C$123:$C$133</c:f>
              <c:numCache>
                <c:formatCode>0.000</c:formatCode>
                <c:ptCount val="11"/>
              </c:numCache>
            </c:numRef>
          </c:val>
          <c:smooth val="0"/>
          <c:extLst>
            <c:ext xmlns:c16="http://schemas.microsoft.com/office/drawing/2014/chart" uri="{C3380CC4-5D6E-409C-BE32-E72D297353CC}">
              <c16:uniqueId val="{00000000-7D3D-4D7A-ABD2-22A0A29409C2}"/>
            </c:ext>
          </c:extLst>
        </c:ser>
        <c:ser>
          <c:idx val="1"/>
          <c:order val="1"/>
          <c:tx>
            <c:strRef>
              <c:f>'Graphique pollution 2'!$D$122</c:f>
              <c:strCache>
                <c:ptCount val="1"/>
                <c:pt idx="0">
                  <c:v>AG</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2'!$D$123:$D$139</c:f>
              <c:numCache>
                <c:formatCode>0.000</c:formatCode>
                <c:ptCount val="17"/>
                <c:pt idx="5" formatCode="0.0">
                  <c:v>4</c:v>
                </c:pt>
                <c:pt idx="6" formatCode="0.0">
                  <c:v>4</c:v>
                </c:pt>
                <c:pt idx="7" formatCode="0.0">
                  <c:v>4</c:v>
                </c:pt>
                <c:pt idx="8" formatCode="0.0">
                  <c:v>4</c:v>
                </c:pt>
                <c:pt idx="9" formatCode="0.0">
                  <c:v>4</c:v>
                </c:pt>
                <c:pt idx="10" formatCode="0.0">
                  <c:v>4</c:v>
                </c:pt>
                <c:pt idx="11" formatCode="0.0">
                  <c:v>4</c:v>
                </c:pt>
                <c:pt idx="12" formatCode="0.0">
                  <c:v>4</c:v>
                </c:pt>
                <c:pt idx="13" formatCode="0.0">
                  <c:v>4</c:v>
                </c:pt>
                <c:pt idx="14" formatCode="0.0">
                  <c:v>4</c:v>
                </c:pt>
                <c:pt idx="15" formatCode="0.0">
                  <c:v>4</c:v>
                </c:pt>
                <c:pt idx="16" formatCode="0.0">
                  <c:v>4</c:v>
                </c:pt>
              </c:numCache>
            </c:numRef>
          </c:val>
          <c:smooth val="0"/>
          <c:extLst>
            <c:ext xmlns:c16="http://schemas.microsoft.com/office/drawing/2014/chart" uri="{C3380CC4-5D6E-409C-BE32-E72D297353CC}">
              <c16:uniqueId val="{00000001-7D3D-4D7A-ABD2-22A0A29409C2}"/>
            </c:ext>
          </c:extLst>
        </c:ser>
        <c:ser>
          <c:idx val="2"/>
          <c:order val="2"/>
          <c:tx>
            <c:strRef>
              <c:f>'Graphique pollution 2'!$E$122</c:f>
              <c:strCache>
                <c:ptCount val="1"/>
                <c:pt idx="0">
                  <c:v>LB</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2'!$E$123:$E$133</c:f>
              <c:numCache>
                <c:formatCode>0.000</c:formatCode>
                <c:ptCount val="11"/>
              </c:numCache>
            </c:numRef>
          </c:val>
          <c:smooth val="0"/>
          <c:extLst>
            <c:ext xmlns:c16="http://schemas.microsoft.com/office/drawing/2014/chart" uri="{C3380CC4-5D6E-409C-BE32-E72D297353CC}">
              <c16:uniqueId val="{00000002-7D3D-4D7A-ABD2-22A0A29409C2}"/>
            </c:ext>
          </c:extLst>
        </c:ser>
        <c:ser>
          <c:idx val="4"/>
          <c:order val="3"/>
          <c:tx>
            <c:strRef>
              <c:f>'Graphique pollution 2'!$F$122</c:f>
              <c:strCache>
                <c:ptCount val="1"/>
                <c:pt idx="0">
                  <c:v>AP</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2'!$F$123:$F$139</c:f>
              <c:numCache>
                <c:formatCode>0.000</c:formatCode>
                <c:ptCount val="17"/>
                <c:pt idx="5" formatCode="0.00">
                  <c:v>2.9</c:v>
                </c:pt>
                <c:pt idx="6" formatCode="0.00">
                  <c:v>3.1</c:v>
                </c:pt>
                <c:pt idx="7" formatCode="0.00">
                  <c:v>3.3</c:v>
                </c:pt>
                <c:pt idx="8" formatCode="0.00">
                  <c:v>3.5</c:v>
                </c:pt>
                <c:pt idx="9" formatCode="0.00">
                  <c:v>3.7</c:v>
                </c:pt>
                <c:pt idx="10" formatCode="0.00">
                  <c:v>3.9</c:v>
                </c:pt>
                <c:pt idx="11" formatCode="0.00">
                  <c:v>3.51</c:v>
                </c:pt>
                <c:pt idx="12" formatCode="0.00">
                  <c:v>3.51</c:v>
                </c:pt>
                <c:pt idx="13" formatCode="0.00">
                  <c:v>3.51</c:v>
                </c:pt>
                <c:pt idx="14" formatCode="0.00">
                  <c:v>3.51</c:v>
                </c:pt>
                <c:pt idx="15" formatCode="0.00">
                  <c:v>3.51</c:v>
                </c:pt>
                <c:pt idx="16" formatCode="0.00">
                  <c:v>3.51</c:v>
                </c:pt>
              </c:numCache>
            </c:numRef>
          </c:val>
          <c:smooth val="0"/>
          <c:extLst>
            <c:ext xmlns:c16="http://schemas.microsoft.com/office/drawing/2014/chart" uri="{C3380CC4-5D6E-409C-BE32-E72D297353CC}">
              <c16:uniqueId val="{00000004-7D3D-4D7A-ABD2-22A0A29409C2}"/>
            </c:ext>
          </c:extLst>
        </c:ser>
        <c:ser>
          <c:idx val="5"/>
          <c:order val="4"/>
          <c:tx>
            <c:strRef>
              <c:f>'Graphique pollution 2'!$G$122</c:f>
              <c:strCache>
                <c:ptCount val="1"/>
                <c:pt idx="0">
                  <c:v>RM</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2'!$G$123:$G$133</c:f>
              <c:numCache>
                <c:formatCode>0.000</c:formatCode>
                <c:ptCount val="11"/>
              </c:numCache>
            </c:numRef>
          </c:val>
          <c:smooth val="0"/>
          <c:extLst>
            <c:ext xmlns:c16="http://schemas.microsoft.com/office/drawing/2014/chart" uri="{C3380CC4-5D6E-409C-BE32-E72D297353CC}">
              <c16:uniqueId val="{00000005-7D3D-4D7A-ABD2-22A0A29409C2}"/>
            </c:ext>
          </c:extLst>
        </c:ser>
        <c:ser>
          <c:idx val="6"/>
          <c:order val="5"/>
          <c:tx>
            <c:strRef>
              <c:f>'Graphique pollution 2'!$H$122</c:f>
              <c:strCache>
                <c:ptCount val="1"/>
                <c:pt idx="0">
                  <c:v>RMC</c:v>
                </c:pt>
              </c:strCache>
            </c:strRef>
          </c:tx>
          <c:cat>
            <c:numRef>
              <c:f>'Graphique pollution 2'!$B$123:$B$139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2'!$H$123:$H$139</c:f>
              <c:numCache>
                <c:formatCode>0.000</c:formatCode>
                <c:ptCount val="17"/>
                <c:pt idx="5" formatCode="0.0">
                  <c:v>1</c:v>
                </c:pt>
                <c:pt idx="6" formatCode="0.0">
                  <c:v>1</c:v>
                </c:pt>
                <c:pt idx="7" formatCode="0.0">
                  <c:v>1</c:v>
                </c:pt>
                <c:pt idx="8" formatCode="0.0">
                  <c:v>1</c:v>
                </c:pt>
                <c:pt idx="9" formatCode="0.0">
                  <c:v>1</c:v>
                </c:pt>
                <c:pt idx="10" formatCode="0.0">
                  <c:v>1</c:v>
                </c:pt>
                <c:pt idx="11" formatCode="0.0">
                  <c:v>4</c:v>
                </c:pt>
                <c:pt idx="12" formatCode="0.0">
                  <c:v>4</c:v>
                </c:pt>
                <c:pt idx="13" formatCode="0.0">
                  <c:v>4</c:v>
                </c:pt>
                <c:pt idx="14" formatCode="0.0">
                  <c:v>4</c:v>
                </c:pt>
                <c:pt idx="15" formatCode="0.0">
                  <c:v>4</c:v>
                </c:pt>
                <c:pt idx="16" formatCode="0.0">
                  <c:v>4</c:v>
                </c:pt>
              </c:numCache>
            </c:numRef>
          </c:val>
          <c:smooth val="0"/>
          <c:extLst>
            <c:ext xmlns:c16="http://schemas.microsoft.com/office/drawing/2014/chart" uri="{C3380CC4-5D6E-409C-BE32-E72D297353CC}">
              <c16:uniqueId val="{00000006-7D3D-4D7A-ABD2-22A0A29409C2}"/>
            </c:ext>
          </c:extLst>
        </c:ser>
        <c:dLbls>
          <c:showLegendKey val="0"/>
          <c:showVal val="0"/>
          <c:showCatName val="0"/>
          <c:showSerName val="0"/>
          <c:showPercent val="0"/>
          <c:showBubbleSize val="0"/>
        </c:dLbls>
        <c:marker val="1"/>
        <c:smooth val="0"/>
        <c:axId val="92522752"/>
        <c:axId val="92532736"/>
      </c:lineChart>
      <c:catAx>
        <c:axId val="92522752"/>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532736"/>
        <c:crosses val="autoZero"/>
        <c:auto val="1"/>
        <c:lblAlgn val="ctr"/>
        <c:lblOffset val="100"/>
        <c:noMultiLvlLbl val="0"/>
      </c:catAx>
      <c:valAx>
        <c:axId val="925327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252275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fr-FR" sz="1600" b="1" i="0" u="none" strike="noStrike" kern="1200" cap="all" spc="120" normalizeH="0" baseline="0">
                <a:solidFill>
                  <a:srgbClr val="FF0000"/>
                </a:solidFill>
                <a:latin typeface="+mn-lt"/>
                <a:ea typeface="+mn-ea"/>
                <a:cs typeface="+mn-cs"/>
              </a:defRPr>
            </a:pPr>
            <a:r>
              <a:rPr lang="fr-FR" sz="1600" b="1" i="0" u="none" strike="noStrike" kern="1200" cap="all" spc="120" normalizeH="0" baseline="0">
                <a:solidFill>
                  <a:srgbClr val="FF0000"/>
                </a:solidFill>
                <a:latin typeface="+mn-lt"/>
                <a:ea typeface="+mn-ea"/>
                <a:cs typeface="+mn-cs"/>
              </a:rPr>
              <a:t>Substances dangereuses surface</a:t>
            </a:r>
          </a:p>
        </c:rich>
      </c:tx>
      <c:overlay val="0"/>
      <c:spPr>
        <a:noFill/>
        <a:ln>
          <a:noFill/>
        </a:ln>
        <a:effectLst/>
      </c:spPr>
      <c:txPr>
        <a:bodyPr rot="0" spcFirstLastPara="1" vertOverflow="ellipsis" vert="horz" wrap="square" anchor="ctr" anchorCtr="1"/>
        <a:lstStyle/>
        <a:p>
          <a:pPr>
            <a:defRPr lang="fr-FR" sz="1600" b="1" i="0" u="none" strike="noStrike" kern="1200" cap="all" spc="120" normalizeH="0" baseline="0">
              <a:solidFill>
                <a:srgbClr val="FF0000"/>
              </a:solidFill>
              <a:latin typeface="+mn-lt"/>
              <a:ea typeface="+mn-ea"/>
              <a:cs typeface="+mn-cs"/>
            </a:defRPr>
          </a:pPr>
          <a:endParaRPr lang="fr-FR"/>
        </a:p>
      </c:txPr>
    </c:title>
    <c:autoTitleDeleted val="0"/>
    <c:plotArea>
      <c:layout/>
      <c:lineChart>
        <c:grouping val="standard"/>
        <c:varyColors val="0"/>
        <c:ser>
          <c:idx val="6"/>
          <c:order val="0"/>
          <c:tx>
            <c:v>RMC</c:v>
          </c:tx>
          <c:spPr>
            <a:ln w="28575" cap="rnd">
              <a:solidFill>
                <a:schemeClr val="accent1">
                  <a:lumMod val="60000"/>
                </a:schemeClr>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2'!$H$143:$H$153</c:f>
              <c:numCache>
                <c:formatCode>0.000</c:formatCode>
                <c:ptCount val="11"/>
                <c:pt idx="8" formatCode="0.0">
                  <c:v>3</c:v>
                </c:pt>
                <c:pt idx="9" formatCode="0.0">
                  <c:v>4</c:v>
                </c:pt>
                <c:pt idx="10" formatCode="0.0">
                  <c:v>5</c:v>
                </c:pt>
              </c:numCache>
            </c:numRef>
          </c:val>
          <c:smooth val="0"/>
          <c:extLst>
            <c:ext xmlns:c16="http://schemas.microsoft.com/office/drawing/2014/chart" uri="{C3380CC4-5D6E-409C-BE32-E72D297353CC}">
              <c16:uniqueId val="{00000006-7C72-43C3-8B46-CB157BCEC45E}"/>
            </c:ext>
          </c:extLst>
        </c:ser>
        <c:ser>
          <c:idx val="1"/>
          <c:order val="1"/>
          <c:tx>
            <c:strRef>
              <c:f>'Graphique pollution 2'!$C$142</c:f>
              <c:strCache>
                <c:ptCount val="1"/>
                <c:pt idx="0">
                  <c:v>AESN</c:v>
                </c:pt>
              </c:strCache>
            </c:strRef>
          </c:tx>
          <c:spPr>
            <a:ln w="28575" cap="rnd">
              <a:solidFill>
                <a:schemeClr val="accent2"/>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2'!$C$143:$C$159</c:f>
              <c:numCache>
                <c:formatCode>0.000</c:formatCode>
                <c:ptCount val="17"/>
                <c:pt idx="8" formatCode="0.0">
                  <c:v>7.8</c:v>
                </c:pt>
                <c:pt idx="9" formatCode="0.0">
                  <c:v>8</c:v>
                </c:pt>
                <c:pt idx="10" formatCode="0.0">
                  <c:v>8.3000000000000007</c:v>
                </c:pt>
                <c:pt idx="11" formatCode="0.0">
                  <c:v>8.3000000000000007</c:v>
                </c:pt>
                <c:pt idx="12" formatCode="0.0">
                  <c:v>8.3000000000000007</c:v>
                </c:pt>
                <c:pt idx="13" formatCode="0.0">
                  <c:v>8.3000000000000007</c:v>
                </c:pt>
                <c:pt idx="14" formatCode="0.0">
                  <c:v>8.3000000000000007</c:v>
                </c:pt>
                <c:pt idx="15" formatCode="0.0">
                  <c:v>8.3000000000000007</c:v>
                </c:pt>
                <c:pt idx="16" formatCode="0.0">
                  <c:v>8.3000000000000007</c:v>
                </c:pt>
              </c:numCache>
            </c:numRef>
          </c:val>
          <c:smooth val="0"/>
          <c:extLst>
            <c:ext xmlns:c16="http://schemas.microsoft.com/office/drawing/2014/chart" uri="{C3380CC4-5D6E-409C-BE32-E72D297353CC}">
              <c16:uniqueId val="{00000001-7C72-43C3-8B46-CB157BCEC45E}"/>
            </c:ext>
          </c:extLst>
        </c:ser>
        <c:ser>
          <c:idx val="2"/>
          <c:order val="2"/>
          <c:tx>
            <c:strRef>
              <c:f>'Graphique pollution 2'!$D$142</c:f>
              <c:strCache>
                <c:ptCount val="1"/>
                <c:pt idx="0">
                  <c:v>AG</c:v>
                </c:pt>
              </c:strCache>
            </c:strRef>
          </c:tx>
          <c:spPr>
            <a:ln w="28575" cap="rnd">
              <a:solidFill>
                <a:schemeClr val="accent3"/>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2'!$D$143:$D$159</c:f>
              <c:numCache>
                <c:formatCode>0.000</c:formatCode>
                <c:ptCount val="17"/>
                <c:pt idx="8" formatCode="0.0">
                  <c:v>3</c:v>
                </c:pt>
                <c:pt idx="9" formatCode="0.0">
                  <c:v>4</c:v>
                </c:pt>
                <c:pt idx="10" formatCode="0.0">
                  <c:v>5</c:v>
                </c:pt>
                <c:pt idx="11" formatCode="0.0">
                  <c:v>5</c:v>
                </c:pt>
                <c:pt idx="12" formatCode="0.0">
                  <c:v>5</c:v>
                </c:pt>
                <c:pt idx="13" formatCode="0.0">
                  <c:v>5</c:v>
                </c:pt>
                <c:pt idx="14" formatCode="0.0">
                  <c:v>5</c:v>
                </c:pt>
                <c:pt idx="15" formatCode="0.0">
                  <c:v>5</c:v>
                </c:pt>
                <c:pt idx="16" formatCode="0.0">
                  <c:v>5</c:v>
                </c:pt>
              </c:numCache>
            </c:numRef>
          </c:val>
          <c:smooth val="0"/>
          <c:extLst>
            <c:ext xmlns:c16="http://schemas.microsoft.com/office/drawing/2014/chart" uri="{C3380CC4-5D6E-409C-BE32-E72D297353CC}">
              <c16:uniqueId val="{00000002-7C72-43C3-8B46-CB157BCEC45E}"/>
            </c:ext>
          </c:extLst>
        </c:ser>
        <c:ser>
          <c:idx val="3"/>
          <c:order val="3"/>
          <c:tx>
            <c:strRef>
              <c:f>'Graphique pollution 2'!$E$142</c:f>
              <c:strCache>
                <c:ptCount val="1"/>
                <c:pt idx="0">
                  <c:v>LB</c:v>
                </c:pt>
              </c:strCache>
            </c:strRef>
          </c:tx>
          <c:spPr>
            <a:ln w="28575" cap="rnd">
              <a:solidFill>
                <a:schemeClr val="accent4"/>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2'!$E$143:$E$159</c:f>
              <c:numCache>
                <c:formatCode>0.000</c:formatCode>
                <c:ptCount val="17"/>
                <c:pt idx="8" formatCode="0.0">
                  <c:v>6</c:v>
                </c:pt>
                <c:pt idx="9" formatCode="0.0">
                  <c:v>7</c:v>
                </c:pt>
                <c:pt idx="10" formatCode="0.0">
                  <c:v>8</c:v>
                </c:pt>
                <c:pt idx="11" formatCode="0.0">
                  <c:v>8</c:v>
                </c:pt>
                <c:pt idx="12" formatCode="0.0">
                  <c:v>8</c:v>
                </c:pt>
                <c:pt idx="13" formatCode="0.0">
                  <c:v>8</c:v>
                </c:pt>
                <c:pt idx="14" formatCode="0.0">
                  <c:v>8</c:v>
                </c:pt>
                <c:pt idx="15" formatCode="0.0">
                  <c:v>8</c:v>
                </c:pt>
                <c:pt idx="16" formatCode="0.0">
                  <c:v>8</c:v>
                </c:pt>
              </c:numCache>
            </c:numRef>
          </c:val>
          <c:smooth val="0"/>
          <c:extLst>
            <c:ext xmlns:c16="http://schemas.microsoft.com/office/drawing/2014/chart" uri="{C3380CC4-5D6E-409C-BE32-E72D297353CC}">
              <c16:uniqueId val="{00000003-7C72-43C3-8B46-CB157BCEC45E}"/>
            </c:ext>
          </c:extLst>
        </c:ser>
        <c:ser>
          <c:idx val="5"/>
          <c:order val="4"/>
          <c:tx>
            <c:strRef>
              <c:f>'Graphique pollution 2'!$G$142</c:f>
              <c:strCache>
                <c:ptCount val="1"/>
                <c:pt idx="0">
                  <c:v>RM</c:v>
                </c:pt>
              </c:strCache>
            </c:strRef>
          </c:tx>
          <c:spPr>
            <a:ln w="28575" cap="rnd">
              <a:solidFill>
                <a:schemeClr val="accent6"/>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2'!$G$143:$G$153</c:f>
              <c:numCache>
                <c:formatCode>0.000</c:formatCode>
                <c:ptCount val="11"/>
                <c:pt idx="8" formatCode="0.0">
                  <c:v>4</c:v>
                </c:pt>
                <c:pt idx="9" formatCode="0.0">
                  <c:v>5</c:v>
                </c:pt>
                <c:pt idx="10" formatCode="0.0">
                  <c:v>6</c:v>
                </c:pt>
              </c:numCache>
            </c:numRef>
          </c:val>
          <c:smooth val="0"/>
          <c:extLst>
            <c:ext xmlns:c16="http://schemas.microsoft.com/office/drawing/2014/chart" uri="{C3380CC4-5D6E-409C-BE32-E72D297353CC}">
              <c16:uniqueId val="{00000005-7C72-43C3-8B46-CB157BCEC45E}"/>
            </c:ext>
          </c:extLst>
        </c:ser>
        <c:ser>
          <c:idx val="4"/>
          <c:order val="5"/>
          <c:tx>
            <c:strRef>
              <c:f>'Graphique pollution 2'!$F$142</c:f>
              <c:strCache>
                <c:ptCount val="1"/>
                <c:pt idx="0">
                  <c:v>AP</c:v>
                </c:pt>
              </c:strCache>
            </c:strRef>
          </c:tx>
          <c:spPr>
            <a:ln w="28575" cap="rnd">
              <a:solidFill>
                <a:schemeClr val="accent5"/>
              </a:solidFill>
              <a:round/>
            </a:ln>
            <a:effectLst/>
          </c:spPr>
          <c:marker>
            <c:symbol val="none"/>
          </c:marker>
          <c:cat>
            <c:numRef>
              <c:f>'Graphique pollution 2'!$B$143:$B$159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2'!$F$143:$F$159</c:f>
              <c:numCache>
                <c:formatCode>0.000</c:formatCode>
                <c:ptCount val="17"/>
                <c:pt idx="8" formatCode="0.0">
                  <c:v>4</c:v>
                </c:pt>
                <c:pt idx="9" formatCode="0.0">
                  <c:v>5</c:v>
                </c:pt>
                <c:pt idx="10" formatCode="0.0">
                  <c:v>6</c:v>
                </c:pt>
                <c:pt idx="11" formatCode="0.0">
                  <c:v>5.4</c:v>
                </c:pt>
                <c:pt idx="12" formatCode="0.0">
                  <c:v>5.4</c:v>
                </c:pt>
                <c:pt idx="13" formatCode="0.0">
                  <c:v>5.4</c:v>
                </c:pt>
                <c:pt idx="14" formatCode="0.0">
                  <c:v>5.4</c:v>
                </c:pt>
                <c:pt idx="15" formatCode="0.0">
                  <c:v>5.4</c:v>
                </c:pt>
                <c:pt idx="16" formatCode="0.0">
                  <c:v>5.4</c:v>
                </c:pt>
              </c:numCache>
            </c:numRef>
          </c:val>
          <c:smooth val="0"/>
          <c:extLst>
            <c:ext xmlns:c16="http://schemas.microsoft.com/office/drawing/2014/chart" uri="{C3380CC4-5D6E-409C-BE32-E72D297353CC}">
              <c16:uniqueId val="{00000004-7C72-43C3-8B46-CB157BCEC45E}"/>
            </c:ext>
          </c:extLst>
        </c:ser>
        <c:dLbls>
          <c:showLegendKey val="0"/>
          <c:showVal val="0"/>
          <c:showCatName val="0"/>
          <c:showSerName val="0"/>
          <c:showPercent val="0"/>
          <c:showBubbleSize val="0"/>
        </c:dLbls>
        <c:smooth val="0"/>
        <c:axId val="514335384"/>
        <c:axId val="514338664"/>
      </c:lineChart>
      <c:dateAx>
        <c:axId val="514335384"/>
        <c:scaling>
          <c:orientation val="minMax"/>
        </c:scaling>
        <c:delete val="0"/>
        <c:axPos val="b"/>
        <c:title>
          <c:tx>
            <c:rich>
              <a:bodyPr rot="-12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Année</a:t>
                </a:r>
              </a:p>
            </c:rich>
          </c:tx>
          <c:overlay val="0"/>
          <c:spPr>
            <a:noFill/>
            <a:ln>
              <a:noFill/>
            </a:ln>
            <a:effectLst/>
          </c:spPr>
          <c:txPr>
            <a:bodyPr rot="-12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338664"/>
        <c:crosses val="autoZero"/>
        <c:auto val="0"/>
        <c:lblOffset val="100"/>
        <c:baseTimeUnit val="days"/>
      </c:dateAx>
      <c:valAx>
        <c:axId val="514338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33538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fr-FR" sz="1600" b="1" i="0" u="none" strike="noStrike" kern="1200" cap="all" spc="120" normalizeH="0" baseline="0">
                <a:solidFill>
                  <a:srgbClr val="FF0000"/>
                </a:solidFill>
                <a:latin typeface="+mn-lt"/>
                <a:ea typeface="+mn-ea"/>
                <a:cs typeface="+mn-cs"/>
              </a:defRPr>
            </a:pPr>
            <a:r>
              <a:rPr lang="fr-FR" sz="1600" b="1" i="0" u="none" strike="noStrike" kern="1200" cap="all" spc="120" normalizeH="0" baseline="0">
                <a:solidFill>
                  <a:srgbClr val="FF0000"/>
                </a:solidFill>
                <a:latin typeface="+mn-lt"/>
                <a:ea typeface="+mn-ea"/>
                <a:cs typeface="+mn-cs"/>
              </a:rPr>
              <a:t>Substances dangereuses souterrain</a:t>
            </a:r>
          </a:p>
        </c:rich>
      </c:tx>
      <c:overlay val="0"/>
      <c:spPr>
        <a:noFill/>
        <a:ln>
          <a:noFill/>
        </a:ln>
        <a:effectLst/>
      </c:spPr>
      <c:txPr>
        <a:bodyPr rot="0" spcFirstLastPara="1" vertOverflow="ellipsis" vert="horz" wrap="square" anchor="ctr" anchorCtr="1"/>
        <a:lstStyle/>
        <a:p>
          <a:pPr>
            <a:defRPr lang="fr-FR" sz="1600" b="1" i="0" u="none" strike="noStrike" kern="1200" cap="all" spc="120" normalizeH="0" baseline="0">
              <a:solidFill>
                <a:srgbClr val="FF0000"/>
              </a:solidFill>
              <a:latin typeface="+mn-lt"/>
              <a:ea typeface="+mn-ea"/>
              <a:cs typeface="+mn-cs"/>
            </a:defRPr>
          </a:pPr>
          <a:endParaRPr lang="fr-FR"/>
        </a:p>
      </c:txPr>
    </c:title>
    <c:autoTitleDeleted val="0"/>
    <c:plotArea>
      <c:layout/>
      <c:lineChart>
        <c:grouping val="standard"/>
        <c:varyColors val="0"/>
        <c:ser>
          <c:idx val="6"/>
          <c:order val="0"/>
          <c:tx>
            <c:strRef>
              <c:f>'Graphique pollution 2'!$H$162</c:f>
              <c:strCache>
                <c:ptCount val="1"/>
                <c:pt idx="0">
                  <c:v>RMC</c:v>
                </c:pt>
              </c:strCache>
            </c:strRef>
          </c:tx>
          <c:spPr>
            <a:ln w="28575" cap="rnd">
              <a:solidFill>
                <a:schemeClr val="accent1">
                  <a:lumMod val="60000"/>
                </a:schemeClr>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2'!$H$163:$H$173</c:f>
              <c:numCache>
                <c:formatCode>0.000</c:formatCode>
                <c:ptCount val="11"/>
                <c:pt idx="8" formatCode="0.0">
                  <c:v>3</c:v>
                </c:pt>
                <c:pt idx="9" formatCode="0.0">
                  <c:v>4</c:v>
                </c:pt>
                <c:pt idx="10" formatCode="0.0">
                  <c:v>5</c:v>
                </c:pt>
              </c:numCache>
            </c:numRef>
          </c:val>
          <c:smooth val="0"/>
          <c:extLst>
            <c:ext xmlns:c16="http://schemas.microsoft.com/office/drawing/2014/chart" uri="{C3380CC4-5D6E-409C-BE32-E72D297353CC}">
              <c16:uniqueId val="{00000006-530F-4381-BC6B-B92CB9E54402}"/>
            </c:ext>
          </c:extLst>
        </c:ser>
        <c:ser>
          <c:idx val="4"/>
          <c:order val="1"/>
          <c:tx>
            <c:strRef>
              <c:f>'Graphique pollution 2'!$F$162</c:f>
              <c:strCache>
                <c:ptCount val="1"/>
                <c:pt idx="0">
                  <c:v>AP</c:v>
                </c:pt>
              </c:strCache>
            </c:strRef>
          </c:tx>
          <c:spPr>
            <a:ln w="28575" cap="rnd">
              <a:solidFill>
                <a:schemeClr val="accent5"/>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2'!$F$163:$F$179</c:f>
              <c:numCache>
                <c:formatCode>0.000</c:formatCode>
                <c:ptCount val="17"/>
                <c:pt idx="8">
                  <c:v>6.64</c:v>
                </c:pt>
                <c:pt idx="9">
                  <c:v>8.3000000000000007</c:v>
                </c:pt>
                <c:pt idx="10">
                  <c:v>9.9600000000000009</c:v>
                </c:pt>
                <c:pt idx="11">
                  <c:v>8.9640000000000004</c:v>
                </c:pt>
                <c:pt idx="12">
                  <c:v>8.9640000000000004</c:v>
                </c:pt>
                <c:pt idx="13">
                  <c:v>8.9640000000000004</c:v>
                </c:pt>
                <c:pt idx="14">
                  <c:v>8.9640000000000004</c:v>
                </c:pt>
                <c:pt idx="15">
                  <c:v>8.9640000000000004</c:v>
                </c:pt>
                <c:pt idx="16">
                  <c:v>8.9640000000000004</c:v>
                </c:pt>
              </c:numCache>
            </c:numRef>
          </c:val>
          <c:smooth val="0"/>
          <c:extLst>
            <c:ext xmlns:c16="http://schemas.microsoft.com/office/drawing/2014/chart" uri="{C3380CC4-5D6E-409C-BE32-E72D297353CC}">
              <c16:uniqueId val="{00000004-530F-4381-BC6B-B92CB9E54402}"/>
            </c:ext>
          </c:extLst>
        </c:ser>
        <c:ser>
          <c:idx val="2"/>
          <c:order val="2"/>
          <c:tx>
            <c:strRef>
              <c:f>'Graphique pollution 2'!$D$162</c:f>
              <c:strCache>
                <c:ptCount val="1"/>
                <c:pt idx="0">
                  <c:v>AG</c:v>
                </c:pt>
              </c:strCache>
            </c:strRef>
          </c:tx>
          <c:spPr>
            <a:ln w="28575" cap="rnd">
              <a:solidFill>
                <a:schemeClr val="accent3"/>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2'!$D$163:$D$179</c:f>
              <c:numCache>
                <c:formatCode>0.000</c:formatCode>
                <c:ptCount val="17"/>
                <c:pt idx="8" formatCode="0.0">
                  <c:v>3</c:v>
                </c:pt>
                <c:pt idx="9" formatCode="0.0">
                  <c:v>4</c:v>
                </c:pt>
                <c:pt idx="10" formatCode="0.0">
                  <c:v>5</c:v>
                </c:pt>
                <c:pt idx="11" formatCode="0.0">
                  <c:v>5</c:v>
                </c:pt>
                <c:pt idx="12" formatCode="0.0">
                  <c:v>5</c:v>
                </c:pt>
                <c:pt idx="13" formatCode="0.0">
                  <c:v>5</c:v>
                </c:pt>
                <c:pt idx="14" formatCode="0.0">
                  <c:v>5</c:v>
                </c:pt>
                <c:pt idx="15" formatCode="0.0">
                  <c:v>5</c:v>
                </c:pt>
                <c:pt idx="16" formatCode="0.0">
                  <c:v>5</c:v>
                </c:pt>
              </c:numCache>
            </c:numRef>
          </c:val>
          <c:smooth val="0"/>
          <c:extLst>
            <c:ext xmlns:c16="http://schemas.microsoft.com/office/drawing/2014/chart" uri="{C3380CC4-5D6E-409C-BE32-E72D297353CC}">
              <c16:uniqueId val="{00000002-530F-4381-BC6B-B92CB9E54402}"/>
            </c:ext>
          </c:extLst>
        </c:ser>
        <c:ser>
          <c:idx val="3"/>
          <c:order val="3"/>
          <c:tx>
            <c:strRef>
              <c:f>'Graphique pollution 2'!$E$162</c:f>
              <c:strCache>
                <c:ptCount val="1"/>
                <c:pt idx="0">
                  <c:v>LB</c:v>
                </c:pt>
              </c:strCache>
            </c:strRef>
          </c:tx>
          <c:spPr>
            <a:ln w="28575" cap="rnd">
              <a:solidFill>
                <a:schemeClr val="accent4"/>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2'!$E$163:$E$179</c:f>
              <c:numCache>
                <c:formatCode>0</c:formatCode>
                <c:ptCount val="17"/>
                <c:pt idx="8" formatCode="0.00">
                  <c:v>11</c:v>
                </c:pt>
                <c:pt idx="9" formatCode="0.00">
                  <c:v>12</c:v>
                </c:pt>
                <c:pt idx="10" formatCode="0.00">
                  <c:v>13</c:v>
                </c:pt>
                <c:pt idx="11" formatCode="0.00">
                  <c:v>13</c:v>
                </c:pt>
                <c:pt idx="12" formatCode="0.00">
                  <c:v>13</c:v>
                </c:pt>
                <c:pt idx="13" formatCode="0.00">
                  <c:v>13</c:v>
                </c:pt>
                <c:pt idx="14" formatCode="0.00">
                  <c:v>13</c:v>
                </c:pt>
                <c:pt idx="15" formatCode="0.00">
                  <c:v>13</c:v>
                </c:pt>
                <c:pt idx="16" formatCode="0.00">
                  <c:v>13</c:v>
                </c:pt>
              </c:numCache>
            </c:numRef>
          </c:val>
          <c:smooth val="0"/>
          <c:extLst>
            <c:ext xmlns:c16="http://schemas.microsoft.com/office/drawing/2014/chart" uri="{C3380CC4-5D6E-409C-BE32-E72D297353CC}">
              <c16:uniqueId val="{00000003-530F-4381-BC6B-B92CB9E54402}"/>
            </c:ext>
          </c:extLst>
        </c:ser>
        <c:ser>
          <c:idx val="1"/>
          <c:order val="4"/>
          <c:tx>
            <c:strRef>
              <c:f>'Graphique pollution 2'!$C$162</c:f>
              <c:strCache>
                <c:ptCount val="1"/>
                <c:pt idx="0">
                  <c:v>AESN</c:v>
                </c:pt>
              </c:strCache>
            </c:strRef>
          </c:tx>
          <c:spPr>
            <a:ln w="28575" cap="rnd">
              <a:solidFill>
                <a:schemeClr val="accent2"/>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2'!$C$163:$C$179</c:f>
              <c:numCache>
                <c:formatCode>0.000</c:formatCode>
                <c:ptCount val="17"/>
                <c:pt idx="8">
                  <c:v>13</c:v>
                </c:pt>
                <c:pt idx="9">
                  <c:v>15</c:v>
                </c:pt>
                <c:pt idx="10">
                  <c:v>16.600000000000001</c:v>
                </c:pt>
                <c:pt idx="11">
                  <c:v>16.600000000000001</c:v>
                </c:pt>
                <c:pt idx="12">
                  <c:v>16.600000000000001</c:v>
                </c:pt>
                <c:pt idx="13">
                  <c:v>16.600000000000001</c:v>
                </c:pt>
                <c:pt idx="14">
                  <c:v>16.600000000000001</c:v>
                </c:pt>
                <c:pt idx="15">
                  <c:v>16.600000000000001</c:v>
                </c:pt>
                <c:pt idx="16">
                  <c:v>16.600000000000001</c:v>
                </c:pt>
              </c:numCache>
            </c:numRef>
          </c:val>
          <c:smooth val="0"/>
          <c:extLst>
            <c:ext xmlns:c16="http://schemas.microsoft.com/office/drawing/2014/chart" uri="{C3380CC4-5D6E-409C-BE32-E72D297353CC}">
              <c16:uniqueId val="{00000001-530F-4381-BC6B-B92CB9E54402}"/>
            </c:ext>
          </c:extLst>
        </c:ser>
        <c:ser>
          <c:idx val="5"/>
          <c:order val="5"/>
          <c:tx>
            <c:strRef>
              <c:f>'Graphique pollution 2'!$G$162</c:f>
              <c:strCache>
                <c:ptCount val="1"/>
                <c:pt idx="0">
                  <c:v>RM</c:v>
                </c:pt>
              </c:strCache>
            </c:strRef>
          </c:tx>
          <c:spPr>
            <a:ln w="28575" cap="rnd">
              <a:solidFill>
                <a:schemeClr val="accent6"/>
              </a:solidFill>
              <a:round/>
            </a:ln>
            <a:effectLst/>
          </c:spPr>
          <c:marker>
            <c:symbol val="none"/>
          </c:marker>
          <c:cat>
            <c:numRef>
              <c:f>'Graphique pollution 2'!$B$163:$B$179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2'!$G$163:$G$179</c:f>
              <c:numCache>
                <c:formatCode>0.000</c:formatCode>
                <c:ptCount val="17"/>
                <c:pt idx="8" formatCode="0.0">
                  <c:v>16.600000000000001</c:v>
                </c:pt>
                <c:pt idx="9" formatCode="0.0">
                  <c:v>16.600000000000001</c:v>
                </c:pt>
                <c:pt idx="10" formatCode="0.0">
                  <c:v>16.600000000000001</c:v>
                </c:pt>
                <c:pt idx="11" formatCode="0.0">
                  <c:v>16.600000000000001</c:v>
                </c:pt>
                <c:pt idx="12" formatCode="0.0">
                  <c:v>16.600000000000001</c:v>
                </c:pt>
                <c:pt idx="13" formatCode="0.0">
                  <c:v>16.600000000000001</c:v>
                </c:pt>
                <c:pt idx="14" formatCode="0.0">
                  <c:v>16.600000000000001</c:v>
                </c:pt>
                <c:pt idx="15" formatCode="0.0">
                  <c:v>16.600000000000001</c:v>
                </c:pt>
                <c:pt idx="16" formatCode="0.0">
                  <c:v>16.600000000000001</c:v>
                </c:pt>
              </c:numCache>
            </c:numRef>
          </c:val>
          <c:smooth val="0"/>
          <c:extLst>
            <c:ext xmlns:c16="http://schemas.microsoft.com/office/drawing/2014/chart" uri="{C3380CC4-5D6E-409C-BE32-E72D297353CC}">
              <c16:uniqueId val="{00000005-530F-4381-BC6B-B92CB9E54402}"/>
            </c:ext>
          </c:extLst>
        </c:ser>
        <c:dLbls>
          <c:showLegendKey val="0"/>
          <c:showVal val="0"/>
          <c:showCatName val="0"/>
          <c:showSerName val="0"/>
          <c:showPercent val="0"/>
          <c:showBubbleSize val="0"/>
        </c:dLbls>
        <c:smooth val="0"/>
        <c:axId val="514906624"/>
        <c:axId val="514907608"/>
      </c:lineChart>
      <c:catAx>
        <c:axId val="514906624"/>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907608"/>
        <c:crosses val="autoZero"/>
        <c:auto val="1"/>
        <c:lblAlgn val="ctr"/>
        <c:lblOffset val="100"/>
        <c:noMultiLvlLbl val="0"/>
      </c:catAx>
      <c:valAx>
        <c:axId val="51490760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906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rgbClr val="FF0000"/>
                </a:solidFill>
                <a:latin typeface="+mn-lt"/>
                <a:ea typeface="+mn-ea"/>
                <a:cs typeface="+mn-cs"/>
              </a:defRPr>
            </a:pPr>
            <a:r>
              <a:rPr lang="en-US">
                <a:solidFill>
                  <a:srgbClr val="FF0000"/>
                </a:solidFill>
              </a:rPr>
              <a:t>AOX SOUTERRAIN</a:t>
            </a:r>
          </a:p>
        </c:rich>
      </c:tx>
      <c:layout>
        <c:manualLayout>
          <c:xMode val="edge"/>
          <c:yMode val="edge"/>
          <c:x val="0.2886653694079066"/>
          <c:y val="3.8288289042749224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rgbClr val="FF0000"/>
              </a:solidFill>
              <a:latin typeface="+mn-lt"/>
              <a:ea typeface="+mn-ea"/>
              <a:cs typeface="+mn-cs"/>
            </a:defRPr>
          </a:pPr>
          <a:endParaRPr lang="fr-FR"/>
        </a:p>
      </c:txPr>
    </c:title>
    <c:autoTitleDeleted val="0"/>
    <c:plotArea>
      <c:layout/>
      <c:lineChart>
        <c:grouping val="standard"/>
        <c:varyColors val="0"/>
        <c:ser>
          <c:idx val="0"/>
          <c:order val="0"/>
          <c:tx>
            <c:strRef>
              <c:f>'Graphique pollution 2'!$C$102</c:f>
              <c:strCache>
                <c:ptCount val="1"/>
                <c:pt idx="0">
                  <c:v>AESN</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2'!$C$103:$C$119</c:f>
              <c:numCache>
                <c:formatCode>0.0</c:formatCode>
                <c:ptCount val="17"/>
                <c:pt idx="0">
                  <c:v>11.8</c:v>
                </c:pt>
                <c:pt idx="1">
                  <c:v>11.8</c:v>
                </c:pt>
                <c:pt idx="2">
                  <c:v>11.8</c:v>
                </c:pt>
                <c:pt idx="3">
                  <c:v>11.8</c:v>
                </c:pt>
                <c:pt idx="4">
                  <c:v>11.8</c:v>
                </c:pt>
                <c:pt idx="5">
                  <c:v>15</c:v>
                </c:pt>
                <c:pt idx="6">
                  <c:v>17</c:v>
                </c:pt>
                <c:pt idx="7">
                  <c:v>18</c:v>
                </c:pt>
                <c:pt idx="8">
                  <c:v>19</c:v>
                </c:pt>
                <c:pt idx="9">
                  <c:v>19</c:v>
                </c:pt>
                <c:pt idx="10">
                  <c:v>20</c:v>
                </c:pt>
                <c:pt idx="11">
                  <c:v>20</c:v>
                </c:pt>
                <c:pt idx="12">
                  <c:v>20</c:v>
                </c:pt>
                <c:pt idx="13">
                  <c:v>20</c:v>
                </c:pt>
                <c:pt idx="14">
                  <c:v>20</c:v>
                </c:pt>
                <c:pt idx="15">
                  <c:v>20</c:v>
                </c:pt>
                <c:pt idx="16">
                  <c:v>20</c:v>
                </c:pt>
              </c:numCache>
            </c:numRef>
          </c:val>
          <c:smooth val="0"/>
          <c:extLst>
            <c:ext xmlns:c16="http://schemas.microsoft.com/office/drawing/2014/chart" uri="{C3380CC4-5D6E-409C-BE32-E72D297353CC}">
              <c16:uniqueId val="{00000000-D0D7-413C-8EE7-C22CF9D049F4}"/>
            </c:ext>
          </c:extLst>
        </c:ser>
        <c:ser>
          <c:idx val="1"/>
          <c:order val="1"/>
          <c:tx>
            <c:strRef>
              <c:f>'Graphique pollution 2'!$D$102</c:f>
              <c:strCache>
                <c:ptCount val="1"/>
                <c:pt idx="0">
                  <c:v>AG</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2'!$D$103:$D$119</c:f>
              <c:numCache>
                <c:formatCode>0.000</c:formatCode>
                <c:ptCount val="17"/>
                <c:pt idx="5" formatCode="0.0">
                  <c:v>20</c:v>
                </c:pt>
                <c:pt idx="6" formatCode="0.0">
                  <c:v>20</c:v>
                </c:pt>
                <c:pt idx="7" formatCode="0.0">
                  <c:v>20</c:v>
                </c:pt>
                <c:pt idx="8" formatCode="0.0">
                  <c:v>20</c:v>
                </c:pt>
                <c:pt idx="9" formatCode="0.0">
                  <c:v>20</c:v>
                </c:pt>
                <c:pt idx="10" formatCode="0.0">
                  <c:v>20</c:v>
                </c:pt>
                <c:pt idx="11" formatCode="0.0">
                  <c:v>20</c:v>
                </c:pt>
                <c:pt idx="12" formatCode="0.0">
                  <c:v>20</c:v>
                </c:pt>
                <c:pt idx="13" formatCode="0.0">
                  <c:v>20</c:v>
                </c:pt>
                <c:pt idx="14" formatCode="0.0">
                  <c:v>20</c:v>
                </c:pt>
                <c:pt idx="15" formatCode="0.0">
                  <c:v>20</c:v>
                </c:pt>
                <c:pt idx="16" formatCode="0.0">
                  <c:v>20</c:v>
                </c:pt>
              </c:numCache>
            </c:numRef>
          </c:val>
          <c:smooth val="0"/>
          <c:extLst>
            <c:ext xmlns:c16="http://schemas.microsoft.com/office/drawing/2014/chart" uri="{C3380CC4-5D6E-409C-BE32-E72D297353CC}">
              <c16:uniqueId val="{00000001-D0D7-413C-8EE7-C22CF9D049F4}"/>
            </c:ext>
          </c:extLst>
        </c:ser>
        <c:ser>
          <c:idx val="2"/>
          <c:order val="2"/>
          <c:tx>
            <c:strRef>
              <c:f>'Graphique pollution 2'!$E$102</c:f>
              <c:strCache>
                <c:ptCount val="1"/>
                <c:pt idx="0">
                  <c:v>LB</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2'!$E$103:$E$119</c:f>
              <c:numCache>
                <c:formatCode>0.000</c:formatCode>
                <c:ptCount val="17"/>
                <c:pt idx="11">
                  <c:v>2.5</c:v>
                </c:pt>
                <c:pt idx="12">
                  <c:v>2.5</c:v>
                </c:pt>
                <c:pt idx="13">
                  <c:v>5</c:v>
                </c:pt>
                <c:pt idx="14">
                  <c:v>5</c:v>
                </c:pt>
                <c:pt idx="15">
                  <c:v>5</c:v>
                </c:pt>
                <c:pt idx="16">
                  <c:v>5</c:v>
                </c:pt>
              </c:numCache>
            </c:numRef>
          </c:val>
          <c:smooth val="0"/>
          <c:extLst>
            <c:ext xmlns:c16="http://schemas.microsoft.com/office/drawing/2014/chart" uri="{C3380CC4-5D6E-409C-BE32-E72D297353CC}">
              <c16:uniqueId val="{00000002-D0D7-413C-8EE7-C22CF9D049F4}"/>
            </c:ext>
          </c:extLst>
        </c:ser>
        <c:ser>
          <c:idx val="3"/>
          <c:order val="3"/>
          <c:tx>
            <c:strRef>
              <c:f>'Graphique pollution 2'!$F$102</c:f>
              <c:strCache>
                <c:ptCount val="1"/>
                <c:pt idx="0">
                  <c:v>AP</c:v>
                </c:pt>
              </c:strCache>
            </c:strRef>
          </c:tx>
          <c:spPr>
            <a:ln w="22225" cap="rnd">
              <a:solidFill>
                <a:schemeClr val="accent4"/>
              </a:solidFill>
              <a:round/>
            </a:ln>
            <a:effectLst/>
          </c:spPr>
          <c:marker>
            <c:symbol val="x"/>
            <c:size val="6"/>
            <c:spPr>
              <a:noFill/>
              <a:ln w="9525">
                <a:solidFill>
                  <a:schemeClr val="accent4"/>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2'!$F$103:$F$119</c:f>
              <c:numCache>
                <c:formatCode>0.000</c:formatCode>
                <c:ptCount val="17"/>
                <c:pt idx="0">
                  <c:v>7.69</c:v>
                </c:pt>
                <c:pt idx="1">
                  <c:v>9.23</c:v>
                </c:pt>
                <c:pt idx="2">
                  <c:v>9.23</c:v>
                </c:pt>
                <c:pt idx="3">
                  <c:v>10.77</c:v>
                </c:pt>
                <c:pt idx="4">
                  <c:v>12.31</c:v>
                </c:pt>
                <c:pt idx="5">
                  <c:v>12.926</c:v>
                </c:pt>
                <c:pt idx="6">
                  <c:v>13.571999999999999</c:v>
                </c:pt>
                <c:pt idx="7">
                  <c:v>14.250999999999999</c:v>
                </c:pt>
                <c:pt idx="8">
                  <c:v>14.964</c:v>
                </c:pt>
                <c:pt idx="9">
                  <c:v>15.721</c:v>
                </c:pt>
                <c:pt idx="10">
                  <c:v>16.498000000000001</c:v>
                </c:pt>
                <c:pt idx="11">
                  <c:v>14.848000000000001</c:v>
                </c:pt>
                <c:pt idx="12">
                  <c:v>14.848000000000001</c:v>
                </c:pt>
                <c:pt idx="13">
                  <c:v>14.848000000000001</c:v>
                </c:pt>
                <c:pt idx="14">
                  <c:v>14.848000000000001</c:v>
                </c:pt>
                <c:pt idx="15">
                  <c:v>14.848000000000001</c:v>
                </c:pt>
                <c:pt idx="16">
                  <c:v>14.848000000000001</c:v>
                </c:pt>
              </c:numCache>
            </c:numRef>
          </c:val>
          <c:smooth val="0"/>
          <c:extLst>
            <c:ext xmlns:c16="http://schemas.microsoft.com/office/drawing/2014/chart" uri="{C3380CC4-5D6E-409C-BE32-E72D297353CC}">
              <c16:uniqueId val="{00000003-D0D7-413C-8EE7-C22CF9D049F4}"/>
            </c:ext>
          </c:extLst>
        </c:ser>
        <c:ser>
          <c:idx val="4"/>
          <c:order val="4"/>
          <c:tx>
            <c:strRef>
              <c:f>'Graphique pollution 2'!$G$102</c:f>
              <c:strCache>
                <c:ptCount val="1"/>
                <c:pt idx="0">
                  <c:v>RM</c:v>
                </c:pt>
              </c:strCache>
            </c:strRef>
          </c:tx>
          <c:spPr>
            <a:ln w="22225" cap="rnd">
              <a:solidFill>
                <a:schemeClr val="accent5"/>
              </a:solidFill>
              <a:round/>
            </a:ln>
            <a:effectLst/>
          </c:spPr>
          <c:marker>
            <c:symbol val="star"/>
            <c:size val="6"/>
            <c:spPr>
              <a:noFill/>
              <a:ln w="9525">
                <a:solidFill>
                  <a:schemeClr val="accent5"/>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2'!$G$103:$G$119</c:f>
              <c:numCache>
                <c:formatCode>0.0</c:formatCode>
                <c:ptCount val="17"/>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numCache>
            </c:numRef>
          </c:val>
          <c:smooth val="0"/>
          <c:extLst>
            <c:ext xmlns:c16="http://schemas.microsoft.com/office/drawing/2014/chart" uri="{C3380CC4-5D6E-409C-BE32-E72D297353CC}">
              <c16:uniqueId val="{00000004-D0D7-413C-8EE7-C22CF9D049F4}"/>
            </c:ext>
          </c:extLst>
        </c:ser>
        <c:ser>
          <c:idx val="5"/>
          <c:order val="5"/>
          <c:tx>
            <c:strRef>
              <c:f>'Graphique pollution 2'!$H$102</c:f>
              <c:strCache>
                <c:ptCount val="1"/>
                <c:pt idx="0">
                  <c:v>RMC</c:v>
                </c:pt>
              </c:strCache>
            </c:strRef>
          </c:tx>
          <c:spPr>
            <a:ln w="22225" cap="rnd">
              <a:solidFill>
                <a:schemeClr val="accent6"/>
              </a:solidFill>
              <a:round/>
            </a:ln>
            <a:effectLst/>
          </c:spPr>
          <c:marker>
            <c:symbol val="circle"/>
            <c:size val="6"/>
            <c:spPr>
              <a:solidFill>
                <a:schemeClr val="accent6"/>
              </a:solidFill>
              <a:ln w="9525">
                <a:solidFill>
                  <a:schemeClr val="accent6"/>
                </a:solidFill>
                <a:round/>
              </a:ln>
              <a:effectLst/>
            </c:spPr>
          </c:marker>
          <c:cat>
            <c:numRef>
              <c:f>'Graphique pollution 2'!$B$103:$B$119</c:f>
              <c:numCache>
                <c:formatCode>0</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2'!$H$103:$H$119</c:f>
              <c:numCache>
                <c:formatCode>0.0</c:formatCode>
                <c:ptCount val="17"/>
                <c:pt idx="0">
                  <c:v>13.8</c:v>
                </c:pt>
                <c:pt idx="1">
                  <c:v>13.8</c:v>
                </c:pt>
                <c:pt idx="2">
                  <c:v>13.8</c:v>
                </c:pt>
                <c:pt idx="3">
                  <c:v>13.8</c:v>
                </c:pt>
                <c:pt idx="4">
                  <c:v>13.8</c:v>
                </c:pt>
                <c:pt idx="5">
                  <c:v>13.8</c:v>
                </c:pt>
                <c:pt idx="6">
                  <c:v>13.8</c:v>
                </c:pt>
                <c:pt idx="7">
                  <c:v>13.8</c:v>
                </c:pt>
                <c:pt idx="8">
                  <c:v>13.8</c:v>
                </c:pt>
                <c:pt idx="9">
                  <c:v>13.8</c:v>
                </c:pt>
                <c:pt idx="10">
                  <c:v>13.8</c:v>
                </c:pt>
                <c:pt idx="11">
                  <c:v>13.8</c:v>
                </c:pt>
                <c:pt idx="12">
                  <c:v>13.8</c:v>
                </c:pt>
                <c:pt idx="13">
                  <c:v>13.8</c:v>
                </c:pt>
                <c:pt idx="14">
                  <c:v>13.8</c:v>
                </c:pt>
                <c:pt idx="15">
                  <c:v>13.8</c:v>
                </c:pt>
                <c:pt idx="16">
                  <c:v>13.8</c:v>
                </c:pt>
              </c:numCache>
            </c:numRef>
          </c:val>
          <c:smooth val="0"/>
          <c:extLst>
            <c:ext xmlns:c16="http://schemas.microsoft.com/office/drawing/2014/chart" uri="{C3380CC4-5D6E-409C-BE32-E72D297353CC}">
              <c16:uniqueId val="{00000005-D0D7-413C-8EE7-C22CF9D049F4}"/>
            </c:ext>
          </c:extLst>
        </c:ser>
        <c:dLbls>
          <c:showLegendKey val="0"/>
          <c:showVal val="0"/>
          <c:showCatName val="0"/>
          <c:showSerName val="0"/>
          <c:showPercent val="0"/>
          <c:showBubbleSize val="0"/>
        </c:dLbls>
        <c:marker val="1"/>
        <c:smooth val="0"/>
        <c:axId val="501562352"/>
        <c:axId val="501556120"/>
      </c:lineChart>
      <c:catAx>
        <c:axId val="50156235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fr-FR"/>
          </a:p>
        </c:txPr>
        <c:crossAx val="501556120"/>
        <c:crosses val="autoZero"/>
        <c:auto val="1"/>
        <c:lblAlgn val="ctr"/>
        <c:lblOffset val="100"/>
        <c:noMultiLvlLbl val="0"/>
      </c:catAx>
      <c:valAx>
        <c:axId val="5015561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1562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1'!$C$23</c:f>
              <c:strCache>
                <c:ptCount val="1"/>
                <c:pt idx="0">
                  <c:v>AESN</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1'!$C$24:$C$40</c:f>
              <c:numCache>
                <c:formatCode>0.000</c:formatCode>
                <c:ptCount val="17"/>
                <c:pt idx="0">
                  <c:v>0.1</c:v>
                </c:pt>
                <c:pt idx="1">
                  <c:v>0.1</c:v>
                </c:pt>
                <c:pt idx="2">
                  <c:v>0.1</c:v>
                </c:pt>
                <c:pt idx="3">
                  <c:v>0.1</c:v>
                </c:pt>
                <c:pt idx="4">
                  <c:v>0.1</c:v>
                </c:pt>
                <c:pt idx="5">
                  <c:v>0.11</c:v>
                </c:pt>
                <c:pt idx="6">
                  <c:v>0.12</c:v>
                </c:pt>
                <c:pt idx="7">
                  <c:v>0.12</c:v>
                </c:pt>
                <c:pt idx="8">
                  <c:v>0.13</c:v>
                </c:pt>
                <c:pt idx="9">
                  <c:v>0.14000000000000001</c:v>
                </c:pt>
                <c:pt idx="10">
                  <c:v>0.15</c:v>
                </c:pt>
                <c:pt idx="11">
                  <c:v>0.15</c:v>
                </c:pt>
                <c:pt idx="12">
                  <c:v>0.15</c:v>
                </c:pt>
                <c:pt idx="13">
                  <c:v>0.15</c:v>
                </c:pt>
                <c:pt idx="14">
                  <c:v>0.15</c:v>
                </c:pt>
                <c:pt idx="15">
                  <c:v>0.15</c:v>
                </c:pt>
                <c:pt idx="16">
                  <c:v>0.15</c:v>
                </c:pt>
              </c:numCache>
            </c:numRef>
          </c:val>
          <c:smooth val="0"/>
          <c:extLst>
            <c:ext xmlns:c16="http://schemas.microsoft.com/office/drawing/2014/chart" uri="{C3380CC4-5D6E-409C-BE32-E72D297353CC}">
              <c16:uniqueId val="{00000000-EA41-4DEE-A322-2919862F1193}"/>
            </c:ext>
          </c:extLst>
        </c:ser>
        <c:ser>
          <c:idx val="1"/>
          <c:order val="1"/>
          <c:tx>
            <c:strRef>
              <c:f>'Graphique pollution 1'!$D$23</c:f>
              <c:strCache>
                <c:ptCount val="1"/>
                <c:pt idx="0">
                  <c:v>AG</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1'!$D$24:$D$40</c:f>
              <c:numCache>
                <c:formatCode>General</c:formatCode>
                <c:ptCount val="17"/>
                <c:pt idx="0">
                  <c:v>0.05</c:v>
                </c:pt>
                <c:pt idx="1">
                  <c:v>5.1999999999999998E-2</c:v>
                </c:pt>
                <c:pt idx="2">
                  <c:v>5.8000000000000003E-2</c:v>
                </c:pt>
                <c:pt idx="3">
                  <c:v>6.5000000000000002E-2</c:v>
                </c:pt>
                <c:pt idx="4">
                  <c:v>7.2999999999999995E-2</c:v>
                </c:pt>
                <c:pt idx="5">
                  <c:v>7.3999999999999996E-2</c:v>
                </c:pt>
                <c:pt idx="6">
                  <c:v>7.5999999999999998E-2</c:v>
                </c:pt>
                <c:pt idx="7">
                  <c:v>7.6999999999999999E-2</c:v>
                </c:pt>
                <c:pt idx="8">
                  <c:v>7.9000000000000001E-2</c:v>
                </c:pt>
                <c:pt idx="9">
                  <c:v>8.1000000000000003E-2</c:v>
                </c:pt>
                <c:pt idx="10">
                  <c:v>8.2000000000000003E-2</c:v>
                </c:pt>
                <c:pt idx="11">
                  <c:v>8.2000000000000003E-2</c:v>
                </c:pt>
                <c:pt idx="12">
                  <c:v>8.2000000000000003E-2</c:v>
                </c:pt>
                <c:pt idx="13">
                  <c:v>8.2000000000000003E-2</c:v>
                </c:pt>
                <c:pt idx="14">
                  <c:v>8.2000000000000003E-2</c:v>
                </c:pt>
                <c:pt idx="15">
                  <c:v>8.2000000000000003E-2</c:v>
                </c:pt>
                <c:pt idx="16">
                  <c:v>8.2000000000000003E-2</c:v>
                </c:pt>
              </c:numCache>
            </c:numRef>
          </c:val>
          <c:smooth val="0"/>
          <c:extLst>
            <c:ext xmlns:c16="http://schemas.microsoft.com/office/drawing/2014/chart" uri="{C3380CC4-5D6E-409C-BE32-E72D297353CC}">
              <c16:uniqueId val="{00000001-EA41-4DEE-A322-2919862F1193}"/>
            </c:ext>
          </c:extLst>
        </c:ser>
        <c:ser>
          <c:idx val="2"/>
          <c:order val="2"/>
          <c:tx>
            <c:strRef>
              <c:f>'Graphique pollution 1'!$E$23</c:f>
              <c:strCache>
                <c:ptCount val="1"/>
                <c:pt idx="0">
                  <c:v>LB</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1'!$E$24:$E$40</c:f>
              <c:numCache>
                <c:formatCode>General</c:formatCode>
                <c:ptCount val="17"/>
                <c:pt idx="0">
                  <c:v>9.1999999999999998E-2</c:v>
                </c:pt>
                <c:pt idx="1">
                  <c:v>9.4E-2</c:v>
                </c:pt>
                <c:pt idx="2">
                  <c:v>9.6000000000000002E-2</c:v>
                </c:pt>
                <c:pt idx="3">
                  <c:v>9.8000000000000004E-2</c:v>
                </c:pt>
                <c:pt idx="4">
                  <c:v>0.1</c:v>
                </c:pt>
                <c:pt idx="5" formatCode="0.0000">
                  <c:v>9.9000000000000005E-2</c:v>
                </c:pt>
                <c:pt idx="6" formatCode="0.0000">
                  <c:v>9.8000000000000004E-2</c:v>
                </c:pt>
                <c:pt idx="7" formatCode="0.0000">
                  <c:v>9.7000000000000003E-2</c:v>
                </c:pt>
                <c:pt idx="8" formatCode="0.0000">
                  <c:v>9.6000000000000002E-2</c:v>
                </c:pt>
                <c:pt idx="9" formatCode="0.0000">
                  <c:v>9.5000000000000001E-2</c:v>
                </c:pt>
                <c:pt idx="10">
                  <c:v>9.4100000000000003E-2</c:v>
                </c:pt>
                <c:pt idx="11">
                  <c:v>9.4100000000000003E-2</c:v>
                </c:pt>
                <c:pt idx="12">
                  <c:v>9.4100000000000003E-2</c:v>
                </c:pt>
                <c:pt idx="13">
                  <c:v>9.4100000000000003E-2</c:v>
                </c:pt>
                <c:pt idx="14">
                  <c:v>9.4100000000000003E-2</c:v>
                </c:pt>
                <c:pt idx="15">
                  <c:v>9.4100000000000003E-2</c:v>
                </c:pt>
                <c:pt idx="16">
                  <c:v>9.4100000000000003E-2</c:v>
                </c:pt>
              </c:numCache>
            </c:numRef>
          </c:val>
          <c:smooth val="0"/>
          <c:extLst>
            <c:ext xmlns:c16="http://schemas.microsoft.com/office/drawing/2014/chart" uri="{C3380CC4-5D6E-409C-BE32-E72D297353CC}">
              <c16:uniqueId val="{00000002-EA41-4DEE-A322-2919862F1193}"/>
            </c:ext>
          </c:extLst>
        </c:ser>
        <c:ser>
          <c:idx val="3"/>
          <c:order val="3"/>
          <c:tx>
            <c:strRef>
              <c:f>'Graphique pollution 1'!$F$23</c:f>
              <c:strCache>
                <c:ptCount val="1"/>
                <c:pt idx="0">
                  <c:v>AP</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1'!$F$24:$F$40</c:f>
              <c:numCache>
                <c:formatCode>General</c:formatCode>
                <c:ptCount val="17"/>
                <c:pt idx="0">
                  <c:v>0.1</c:v>
                </c:pt>
                <c:pt idx="1">
                  <c:v>0.10199999999999999</c:v>
                </c:pt>
                <c:pt idx="2">
                  <c:v>0.10199999999999999</c:v>
                </c:pt>
                <c:pt idx="3">
                  <c:v>0.104</c:v>
                </c:pt>
                <c:pt idx="4">
                  <c:v>0.106</c:v>
                </c:pt>
                <c:pt idx="5">
                  <c:v>0.111</c:v>
                </c:pt>
                <c:pt idx="6">
                  <c:v>0.11700000000000001</c:v>
                </c:pt>
                <c:pt idx="7">
                  <c:v>0.123</c:v>
                </c:pt>
                <c:pt idx="8">
                  <c:v>0.129</c:v>
                </c:pt>
                <c:pt idx="9">
                  <c:v>0.13500000000000001</c:v>
                </c:pt>
                <c:pt idx="10">
                  <c:v>0.14199999999999999</c:v>
                </c:pt>
                <c:pt idx="11">
                  <c:v>0.128</c:v>
                </c:pt>
                <c:pt idx="12">
                  <c:v>0.128</c:v>
                </c:pt>
                <c:pt idx="13">
                  <c:v>0.128</c:v>
                </c:pt>
                <c:pt idx="14">
                  <c:v>0.128</c:v>
                </c:pt>
                <c:pt idx="15">
                  <c:v>0.128</c:v>
                </c:pt>
                <c:pt idx="16">
                  <c:v>0.128</c:v>
                </c:pt>
              </c:numCache>
            </c:numRef>
          </c:val>
          <c:smooth val="0"/>
          <c:extLst>
            <c:ext xmlns:c16="http://schemas.microsoft.com/office/drawing/2014/chart" uri="{C3380CC4-5D6E-409C-BE32-E72D297353CC}">
              <c16:uniqueId val="{00000003-EA41-4DEE-A322-2919862F1193}"/>
            </c:ext>
          </c:extLst>
        </c:ser>
        <c:ser>
          <c:idx val="4"/>
          <c:order val="4"/>
          <c:tx>
            <c:strRef>
              <c:f>'Graphique pollution 1'!$G$23</c:f>
              <c:strCache>
                <c:ptCount val="1"/>
                <c:pt idx="0">
                  <c:v>RM</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1'!$G$24:$G$40</c:f>
              <c:numCache>
                <c:formatCode>General</c:formatCode>
                <c:ptCount val="17"/>
                <c:pt idx="0">
                  <c:v>6.7000000000000004E-2</c:v>
                </c:pt>
                <c:pt idx="1">
                  <c:v>6.7000000000000004E-2</c:v>
                </c:pt>
                <c:pt idx="2">
                  <c:v>6.8000000000000005E-2</c:v>
                </c:pt>
                <c:pt idx="3">
                  <c:v>6.8000000000000005E-2</c:v>
                </c:pt>
                <c:pt idx="4">
                  <c:v>6.8000000000000005E-2</c:v>
                </c:pt>
                <c:pt idx="5" formatCode="0.0000">
                  <c:v>7.6200000000000004E-2</c:v>
                </c:pt>
                <c:pt idx="6">
                  <c:v>8.4400000000000003E-2</c:v>
                </c:pt>
                <c:pt idx="7">
                  <c:v>9.2600000000000002E-2</c:v>
                </c:pt>
                <c:pt idx="8">
                  <c:v>0.1008</c:v>
                </c:pt>
                <c:pt idx="9">
                  <c:v>0.109</c:v>
                </c:pt>
                <c:pt idx="10">
                  <c:v>0.109</c:v>
                </c:pt>
                <c:pt idx="11">
                  <c:v>0.109</c:v>
                </c:pt>
                <c:pt idx="12">
                  <c:v>0.109</c:v>
                </c:pt>
                <c:pt idx="13">
                  <c:v>0.109</c:v>
                </c:pt>
                <c:pt idx="14">
                  <c:v>0.109</c:v>
                </c:pt>
                <c:pt idx="15">
                  <c:v>0.109</c:v>
                </c:pt>
                <c:pt idx="16">
                  <c:v>0.109</c:v>
                </c:pt>
              </c:numCache>
            </c:numRef>
          </c:val>
          <c:smooth val="0"/>
          <c:extLst>
            <c:ext xmlns:c16="http://schemas.microsoft.com/office/drawing/2014/chart" uri="{C3380CC4-5D6E-409C-BE32-E72D297353CC}">
              <c16:uniqueId val="{00000004-EA41-4DEE-A322-2919862F1193}"/>
            </c:ext>
          </c:extLst>
        </c:ser>
        <c:ser>
          <c:idx val="5"/>
          <c:order val="5"/>
          <c:tx>
            <c:strRef>
              <c:f>'Graphique pollution 1'!$H$23</c:f>
              <c:strCache>
                <c:ptCount val="1"/>
                <c:pt idx="0">
                  <c:v>RMC</c:v>
                </c:pt>
              </c:strCache>
            </c:strRef>
          </c:tx>
          <c:cat>
            <c:numRef>
              <c:f>'Graphique pollution 1'!$B$24:$B$40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1'!$H$24:$H$40</c:f>
              <c:numCache>
                <c:formatCode>General</c:formatCode>
                <c:ptCount val="17"/>
                <c:pt idx="0">
                  <c:v>0.12</c:v>
                </c:pt>
                <c:pt idx="1">
                  <c:v>0.12</c:v>
                </c:pt>
                <c:pt idx="2">
                  <c:v>0.12</c:v>
                </c:pt>
                <c:pt idx="3">
                  <c:v>0.12</c:v>
                </c:pt>
                <c:pt idx="4">
                  <c:v>0.12</c:v>
                </c:pt>
                <c:pt idx="5">
                  <c:v>0.12</c:v>
                </c:pt>
                <c:pt idx="6">
                  <c:v>0.12</c:v>
                </c:pt>
                <c:pt idx="7">
                  <c:v>0.12</c:v>
                </c:pt>
                <c:pt idx="8">
                  <c:v>0.12</c:v>
                </c:pt>
                <c:pt idx="9">
                  <c:v>0.12</c:v>
                </c:pt>
                <c:pt idx="10">
                  <c:v>0.12</c:v>
                </c:pt>
                <c:pt idx="11">
                  <c:v>0.12</c:v>
                </c:pt>
                <c:pt idx="12">
                  <c:v>0.12</c:v>
                </c:pt>
                <c:pt idx="13">
                  <c:v>0.12</c:v>
                </c:pt>
                <c:pt idx="14">
                  <c:v>0.12</c:v>
                </c:pt>
                <c:pt idx="15">
                  <c:v>0.12</c:v>
                </c:pt>
                <c:pt idx="16">
                  <c:v>0.12</c:v>
                </c:pt>
              </c:numCache>
            </c:numRef>
          </c:val>
          <c:smooth val="0"/>
          <c:extLst>
            <c:ext xmlns:c16="http://schemas.microsoft.com/office/drawing/2014/chart" uri="{C3380CC4-5D6E-409C-BE32-E72D297353CC}">
              <c16:uniqueId val="{00000005-EA41-4DEE-A322-2919862F1193}"/>
            </c:ext>
          </c:extLst>
        </c:ser>
        <c:dLbls>
          <c:showLegendKey val="0"/>
          <c:showVal val="0"/>
          <c:showCatName val="0"/>
          <c:showSerName val="0"/>
          <c:showPercent val="0"/>
          <c:showBubbleSize val="0"/>
        </c:dLbls>
        <c:marker val="1"/>
        <c:smooth val="0"/>
        <c:axId val="90942464"/>
        <c:axId val="90948352"/>
      </c:lineChart>
      <c:catAx>
        <c:axId val="909424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48352"/>
        <c:crosses val="autoZero"/>
        <c:auto val="1"/>
        <c:lblAlgn val="ctr"/>
        <c:lblOffset val="100"/>
        <c:noMultiLvlLbl val="0"/>
      </c:catAx>
      <c:valAx>
        <c:axId val="9094835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4246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1'!$C$43</c:f>
              <c:strCache>
                <c:ptCount val="1"/>
                <c:pt idx="0">
                  <c:v>AESN</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1'!$C$44:$C$60</c:f>
              <c:numCache>
                <c:formatCode>0.000</c:formatCode>
                <c:ptCount val="17"/>
                <c:pt idx="0">
                  <c:v>0.2</c:v>
                </c:pt>
                <c:pt idx="1">
                  <c:v>0.2</c:v>
                </c:pt>
                <c:pt idx="2">
                  <c:v>0.2</c:v>
                </c:pt>
                <c:pt idx="3">
                  <c:v>0.2</c:v>
                </c:pt>
                <c:pt idx="4">
                  <c:v>0.2</c:v>
                </c:pt>
                <c:pt idx="5">
                  <c:v>0.16</c:v>
                </c:pt>
                <c:pt idx="6">
                  <c:v>0.16</c:v>
                </c:pt>
                <c:pt idx="7">
                  <c:v>0.16</c:v>
                </c:pt>
                <c:pt idx="8">
                  <c:v>0.17</c:v>
                </c:pt>
                <c:pt idx="9">
                  <c:v>0.17</c:v>
                </c:pt>
                <c:pt idx="10">
                  <c:v>0.18</c:v>
                </c:pt>
                <c:pt idx="11">
                  <c:v>0.18</c:v>
                </c:pt>
                <c:pt idx="12">
                  <c:v>0.18</c:v>
                </c:pt>
                <c:pt idx="13">
                  <c:v>0.18</c:v>
                </c:pt>
                <c:pt idx="14">
                  <c:v>0.18</c:v>
                </c:pt>
                <c:pt idx="15">
                  <c:v>0.18</c:v>
                </c:pt>
                <c:pt idx="16">
                  <c:v>0.18</c:v>
                </c:pt>
              </c:numCache>
            </c:numRef>
          </c:val>
          <c:smooth val="0"/>
          <c:extLst>
            <c:ext xmlns:c16="http://schemas.microsoft.com/office/drawing/2014/chart" uri="{C3380CC4-5D6E-409C-BE32-E72D297353CC}">
              <c16:uniqueId val="{00000000-3A8F-4587-B64A-36C0E19F8B20}"/>
            </c:ext>
          </c:extLst>
        </c:ser>
        <c:ser>
          <c:idx val="1"/>
          <c:order val="1"/>
          <c:tx>
            <c:strRef>
              <c:f>'Graphique pollution 1'!$D$43</c:f>
              <c:strCache>
                <c:ptCount val="1"/>
                <c:pt idx="0">
                  <c:v>AG</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1'!$D$44:$D$60</c:f>
              <c:numCache>
                <c:formatCode>General</c:formatCode>
                <c:ptCount val="17"/>
                <c:pt idx="0">
                  <c:v>0.1</c:v>
                </c:pt>
                <c:pt idx="1">
                  <c:v>0.10299999999999999</c:v>
                </c:pt>
                <c:pt idx="2">
                  <c:v>0.11600000000000001</c:v>
                </c:pt>
                <c:pt idx="3">
                  <c:v>0.13</c:v>
                </c:pt>
                <c:pt idx="4">
                  <c:v>0.14599999999999999</c:v>
                </c:pt>
                <c:pt idx="5">
                  <c:v>0.14899999999999999</c:v>
                </c:pt>
                <c:pt idx="6">
                  <c:v>0.152</c:v>
                </c:pt>
                <c:pt idx="7">
                  <c:v>0.155</c:v>
                </c:pt>
                <c:pt idx="8">
                  <c:v>0.158</c:v>
                </c:pt>
                <c:pt idx="9">
                  <c:v>0.16400000000000001</c:v>
                </c:pt>
                <c:pt idx="10">
                  <c:v>0.16400000000000001</c:v>
                </c:pt>
                <c:pt idx="11">
                  <c:v>0.16400000000000001</c:v>
                </c:pt>
                <c:pt idx="12">
                  <c:v>0.16400000000000001</c:v>
                </c:pt>
                <c:pt idx="13">
                  <c:v>0.16400000000000001</c:v>
                </c:pt>
                <c:pt idx="14">
                  <c:v>0.16400000000000001</c:v>
                </c:pt>
                <c:pt idx="15">
                  <c:v>0.16400000000000001</c:v>
                </c:pt>
                <c:pt idx="16">
                  <c:v>0.16400000000000001</c:v>
                </c:pt>
              </c:numCache>
            </c:numRef>
          </c:val>
          <c:smooth val="0"/>
          <c:extLst>
            <c:ext xmlns:c16="http://schemas.microsoft.com/office/drawing/2014/chart" uri="{C3380CC4-5D6E-409C-BE32-E72D297353CC}">
              <c16:uniqueId val="{00000001-3A8F-4587-B64A-36C0E19F8B20}"/>
            </c:ext>
          </c:extLst>
        </c:ser>
        <c:ser>
          <c:idx val="2"/>
          <c:order val="2"/>
          <c:tx>
            <c:strRef>
              <c:f>'Graphique pollution 1'!$E$43</c:f>
              <c:strCache>
                <c:ptCount val="1"/>
                <c:pt idx="0">
                  <c:v>LB</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1'!$E$44:$E$60</c:f>
              <c:numCache>
                <c:formatCode>General</c:formatCode>
                <c:ptCount val="17"/>
                <c:pt idx="0">
                  <c:v>0.184</c:v>
                </c:pt>
                <c:pt idx="1">
                  <c:v>0.188</c:v>
                </c:pt>
                <c:pt idx="2">
                  <c:v>0.192</c:v>
                </c:pt>
                <c:pt idx="3">
                  <c:v>0.19600000000000001</c:v>
                </c:pt>
                <c:pt idx="4">
                  <c:v>0.2</c:v>
                </c:pt>
                <c:pt idx="5" formatCode="0.0000">
                  <c:v>0.19800000000000001</c:v>
                </c:pt>
                <c:pt idx="6" formatCode="0.0000">
                  <c:v>0.19600000000000001</c:v>
                </c:pt>
                <c:pt idx="7" formatCode="0.0000">
                  <c:v>0.19400000000000001</c:v>
                </c:pt>
                <c:pt idx="8" formatCode="0.0000">
                  <c:v>0.19209999999999999</c:v>
                </c:pt>
                <c:pt idx="9" formatCode="0.0000">
                  <c:v>0.19020000000000001</c:v>
                </c:pt>
                <c:pt idx="10">
                  <c:v>0.1883</c:v>
                </c:pt>
                <c:pt idx="11">
                  <c:v>0.1883</c:v>
                </c:pt>
                <c:pt idx="12">
                  <c:v>0.1883</c:v>
                </c:pt>
                <c:pt idx="13">
                  <c:v>0.1883</c:v>
                </c:pt>
                <c:pt idx="14">
                  <c:v>0.1883</c:v>
                </c:pt>
                <c:pt idx="15">
                  <c:v>0.1883</c:v>
                </c:pt>
                <c:pt idx="16">
                  <c:v>0.1883</c:v>
                </c:pt>
              </c:numCache>
            </c:numRef>
          </c:val>
          <c:smooth val="0"/>
          <c:extLst>
            <c:ext xmlns:c16="http://schemas.microsoft.com/office/drawing/2014/chart" uri="{C3380CC4-5D6E-409C-BE32-E72D297353CC}">
              <c16:uniqueId val="{00000002-3A8F-4587-B64A-36C0E19F8B20}"/>
            </c:ext>
          </c:extLst>
        </c:ser>
        <c:ser>
          <c:idx val="3"/>
          <c:order val="3"/>
          <c:tx>
            <c:strRef>
              <c:f>'Graphique pollution 1'!$F$43</c:f>
              <c:strCache>
                <c:ptCount val="1"/>
                <c:pt idx="0">
                  <c:v>AP</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1'!$F$44:$F$60</c:f>
              <c:numCache>
                <c:formatCode>General</c:formatCode>
                <c:ptCount val="17"/>
                <c:pt idx="0">
                  <c:v>0.2</c:v>
                </c:pt>
                <c:pt idx="1">
                  <c:v>0.20399999999999999</c:v>
                </c:pt>
                <c:pt idx="2">
                  <c:v>0.20399999999999999</c:v>
                </c:pt>
                <c:pt idx="3">
                  <c:v>0.20799999999999999</c:v>
                </c:pt>
                <c:pt idx="4">
                  <c:v>0.21199999999999999</c:v>
                </c:pt>
                <c:pt idx="5">
                  <c:v>0.223</c:v>
                </c:pt>
                <c:pt idx="6">
                  <c:v>0.23400000000000001</c:v>
                </c:pt>
                <c:pt idx="7">
                  <c:v>0.246</c:v>
                </c:pt>
                <c:pt idx="8">
                  <c:v>0.25800000000000001</c:v>
                </c:pt>
                <c:pt idx="9">
                  <c:v>0.27100000000000002</c:v>
                </c:pt>
                <c:pt idx="10">
                  <c:v>0.28499999999999998</c:v>
                </c:pt>
                <c:pt idx="11">
                  <c:v>0.25700000000000001</c:v>
                </c:pt>
                <c:pt idx="12">
                  <c:v>0.25700000000000001</c:v>
                </c:pt>
                <c:pt idx="13">
                  <c:v>0.25700000000000001</c:v>
                </c:pt>
                <c:pt idx="14">
                  <c:v>0.25700000000000001</c:v>
                </c:pt>
                <c:pt idx="15">
                  <c:v>0.25700000000000001</c:v>
                </c:pt>
                <c:pt idx="16">
                  <c:v>0.25700000000000001</c:v>
                </c:pt>
              </c:numCache>
            </c:numRef>
          </c:val>
          <c:smooth val="0"/>
          <c:extLst>
            <c:ext xmlns:c16="http://schemas.microsoft.com/office/drawing/2014/chart" uri="{C3380CC4-5D6E-409C-BE32-E72D297353CC}">
              <c16:uniqueId val="{00000003-3A8F-4587-B64A-36C0E19F8B20}"/>
            </c:ext>
          </c:extLst>
        </c:ser>
        <c:ser>
          <c:idx val="4"/>
          <c:order val="4"/>
          <c:tx>
            <c:strRef>
              <c:f>'Graphique pollution 1'!$G$43</c:f>
              <c:strCache>
                <c:ptCount val="1"/>
                <c:pt idx="0">
                  <c:v>RM</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1'!$G$44:$G$60</c:f>
              <c:numCache>
                <c:formatCode>General</c:formatCode>
                <c:ptCount val="17"/>
                <c:pt idx="0">
                  <c:v>0.13500000000000001</c:v>
                </c:pt>
                <c:pt idx="1">
                  <c:v>0.13500000000000001</c:v>
                </c:pt>
                <c:pt idx="2">
                  <c:v>0.13800000000000001</c:v>
                </c:pt>
                <c:pt idx="3">
                  <c:v>0.13800000000000001</c:v>
                </c:pt>
                <c:pt idx="4">
                  <c:v>0.13800000000000001</c:v>
                </c:pt>
                <c:pt idx="5" formatCode="0.0000">
                  <c:v>0.15440000000000001</c:v>
                </c:pt>
                <c:pt idx="6">
                  <c:v>0.17080000000000001</c:v>
                </c:pt>
                <c:pt idx="7">
                  <c:v>0.18720000000000001</c:v>
                </c:pt>
                <c:pt idx="8">
                  <c:v>0.2036</c:v>
                </c:pt>
                <c:pt idx="9">
                  <c:v>0.22</c:v>
                </c:pt>
                <c:pt idx="10">
                  <c:v>0.22</c:v>
                </c:pt>
                <c:pt idx="11">
                  <c:v>0.22</c:v>
                </c:pt>
                <c:pt idx="12">
                  <c:v>0.22</c:v>
                </c:pt>
                <c:pt idx="13">
                  <c:v>0.22</c:v>
                </c:pt>
                <c:pt idx="14">
                  <c:v>0.22</c:v>
                </c:pt>
                <c:pt idx="15">
                  <c:v>0.22</c:v>
                </c:pt>
                <c:pt idx="16">
                  <c:v>0.22</c:v>
                </c:pt>
              </c:numCache>
            </c:numRef>
          </c:val>
          <c:smooth val="0"/>
          <c:extLst>
            <c:ext xmlns:c16="http://schemas.microsoft.com/office/drawing/2014/chart" uri="{C3380CC4-5D6E-409C-BE32-E72D297353CC}">
              <c16:uniqueId val="{00000004-3A8F-4587-B64A-36C0E19F8B20}"/>
            </c:ext>
          </c:extLst>
        </c:ser>
        <c:ser>
          <c:idx val="5"/>
          <c:order val="5"/>
          <c:tx>
            <c:strRef>
              <c:f>'Graphique pollution 1'!$H$43</c:f>
              <c:strCache>
                <c:ptCount val="1"/>
                <c:pt idx="0">
                  <c:v>RMC</c:v>
                </c:pt>
              </c:strCache>
            </c:strRef>
          </c:tx>
          <c:cat>
            <c:numRef>
              <c:f>'Graphique pollution 1'!$B$44:$B$60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1'!$H$44:$H$60</c:f>
              <c:numCache>
                <c:formatCode>General</c:formatCode>
                <c:ptCount val="17"/>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numCache>
            </c:numRef>
          </c:val>
          <c:smooth val="0"/>
          <c:extLst>
            <c:ext xmlns:c16="http://schemas.microsoft.com/office/drawing/2014/chart" uri="{C3380CC4-5D6E-409C-BE32-E72D297353CC}">
              <c16:uniqueId val="{00000005-3A8F-4587-B64A-36C0E19F8B20}"/>
            </c:ext>
          </c:extLst>
        </c:ser>
        <c:dLbls>
          <c:showLegendKey val="0"/>
          <c:showVal val="0"/>
          <c:showCatName val="0"/>
          <c:showSerName val="0"/>
          <c:showPercent val="0"/>
          <c:showBubbleSize val="0"/>
        </c:dLbls>
        <c:marker val="1"/>
        <c:smooth val="0"/>
        <c:axId val="90988928"/>
        <c:axId val="90990464"/>
      </c:lineChart>
      <c:catAx>
        <c:axId val="909889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90464"/>
        <c:crosses val="autoZero"/>
        <c:auto val="1"/>
        <c:lblAlgn val="ctr"/>
        <c:lblOffset val="100"/>
        <c:noMultiLvlLbl val="0"/>
      </c:catAx>
      <c:valAx>
        <c:axId val="9099046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098892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1'!$C$63</c:f>
              <c:strCache>
                <c:ptCount val="1"/>
                <c:pt idx="0">
                  <c:v>AESN</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1'!$C$64:$C$80</c:f>
              <c:numCache>
                <c:formatCode>0.000</c:formatCode>
                <c:ptCount val="17"/>
                <c:pt idx="0">
                  <c:v>0.436</c:v>
                </c:pt>
                <c:pt idx="1">
                  <c:v>0.50600000000000001</c:v>
                </c:pt>
                <c:pt idx="2">
                  <c:v>0.50600000000000001</c:v>
                </c:pt>
                <c:pt idx="3">
                  <c:v>0.58699999999999997</c:v>
                </c:pt>
                <c:pt idx="4">
                  <c:v>0.58699999999999997</c:v>
                </c:pt>
                <c:pt idx="5">
                  <c:v>0.6</c:v>
                </c:pt>
                <c:pt idx="6">
                  <c:v>0.6</c:v>
                </c:pt>
                <c:pt idx="7">
                  <c:v>0.6</c:v>
                </c:pt>
                <c:pt idx="8">
                  <c:v>0.6</c:v>
                </c:pt>
                <c:pt idx="9">
                  <c:v>0.6</c:v>
                </c:pt>
                <c:pt idx="10">
                  <c:v>0.6</c:v>
                </c:pt>
                <c:pt idx="11">
                  <c:v>0.6</c:v>
                </c:pt>
                <c:pt idx="12">
                  <c:v>0.6</c:v>
                </c:pt>
                <c:pt idx="13">
                  <c:v>0.6</c:v>
                </c:pt>
                <c:pt idx="14">
                  <c:v>0.6</c:v>
                </c:pt>
                <c:pt idx="15">
                  <c:v>0.6</c:v>
                </c:pt>
                <c:pt idx="16">
                  <c:v>0.6</c:v>
                </c:pt>
              </c:numCache>
            </c:numRef>
          </c:val>
          <c:smooth val="0"/>
          <c:extLst>
            <c:ext xmlns:c16="http://schemas.microsoft.com/office/drawing/2014/chart" uri="{C3380CC4-5D6E-409C-BE32-E72D297353CC}">
              <c16:uniqueId val="{00000000-757A-44BD-A1A5-315BA4766CCD}"/>
            </c:ext>
          </c:extLst>
        </c:ser>
        <c:ser>
          <c:idx val="1"/>
          <c:order val="1"/>
          <c:tx>
            <c:strRef>
              <c:f>'Graphique pollution 1'!$D$63</c:f>
              <c:strCache>
                <c:ptCount val="1"/>
                <c:pt idx="0">
                  <c:v>AG</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1'!$D$64:$D$80</c:f>
              <c:numCache>
                <c:formatCode>General</c:formatCode>
                <c:ptCount val="17"/>
                <c:pt idx="0">
                  <c:v>0.2</c:v>
                </c:pt>
                <c:pt idx="1">
                  <c:v>0.20599999999999999</c:v>
                </c:pt>
                <c:pt idx="2">
                  <c:v>0.23100000000000001</c:v>
                </c:pt>
                <c:pt idx="3">
                  <c:v>0.26</c:v>
                </c:pt>
                <c:pt idx="4">
                  <c:v>0.29099999999999998</c:v>
                </c:pt>
                <c:pt idx="5">
                  <c:v>0.3</c:v>
                </c:pt>
                <c:pt idx="6">
                  <c:v>0.30499999999999999</c:v>
                </c:pt>
                <c:pt idx="7">
                  <c:v>0.31</c:v>
                </c:pt>
                <c:pt idx="8">
                  <c:v>0.315</c:v>
                </c:pt>
                <c:pt idx="9">
                  <c:v>0.32</c:v>
                </c:pt>
                <c:pt idx="10">
                  <c:v>0.33</c:v>
                </c:pt>
                <c:pt idx="11">
                  <c:v>0.33</c:v>
                </c:pt>
                <c:pt idx="12">
                  <c:v>0.33</c:v>
                </c:pt>
                <c:pt idx="13">
                  <c:v>0.33</c:v>
                </c:pt>
                <c:pt idx="14">
                  <c:v>0.33</c:v>
                </c:pt>
                <c:pt idx="15">
                  <c:v>0.33</c:v>
                </c:pt>
                <c:pt idx="16">
                  <c:v>0.33</c:v>
                </c:pt>
              </c:numCache>
            </c:numRef>
          </c:val>
          <c:smooth val="0"/>
          <c:extLst>
            <c:ext xmlns:c16="http://schemas.microsoft.com/office/drawing/2014/chart" uri="{C3380CC4-5D6E-409C-BE32-E72D297353CC}">
              <c16:uniqueId val="{00000001-757A-44BD-A1A5-315BA4766CCD}"/>
            </c:ext>
          </c:extLst>
        </c:ser>
        <c:ser>
          <c:idx val="2"/>
          <c:order val="2"/>
          <c:tx>
            <c:strRef>
              <c:f>'Graphique pollution 1'!$E$63</c:f>
              <c:strCache>
                <c:ptCount val="1"/>
                <c:pt idx="0">
                  <c:v>LB</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1'!$E$64:$E$80</c:f>
              <c:numCache>
                <c:formatCode>General</c:formatCode>
                <c:ptCount val="17"/>
                <c:pt idx="0">
                  <c:v>0.32300000000000001</c:v>
                </c:pt>
                <c:pt idx="1">
                  <c:v>0.32900000000000001</c:v>
                </c:pt>
                <c:pt idx="2">
                  <c:v>0.33600000000000002</c:v>
                </c:pt>
                <c:pt idx="3">
                  <c:v>0.34300000000000003</c:v>
                </c:pt>
                <c:pt idx="4">
                  <c:v>0.35</c:v>
                </c:pt>
                <c:pt idx="5">
                  <c:v>0.34649999999999997</c:v>
                </c:pt>
                <c:pt idx="6" formatCode="0.0000">
                  <c:v>0.34200000000000003</c:v>
                </c:pt>
                <c:pt idx="7" formatCode="0.0000">
                  <c:v>0.33960000000000001</c:v>
                </c:pt>
                <c:pt idx="8" formatCode="0.0000">
                  <c:v>0.3362</c:v>
                </c:pt>
                <c:pt idx="9" formatCode="0.0000">
                  <c:v>0.33279999999999998</c:v>
                </c:pt>
                <c:pt idx="10">
                  <c:v>0.32950000000000002</c:v>
                </c:pt>
                <c:pt idx="11">
                  <c:v>0.32950000000000002</c:v>
                </c:pt>
                <c:pt idx="12">
                  <c:v>0.32950000000000002</c:v>
                </c:pt>
                <c:pt idx="13">
                  <c:v>0.32950000000000002</c:v>
                </c:pt>
                <c:pt idx="14">
                  <c:v>0.32950000000000002</c:v>
                </c:pt>
                <c:pt idx="15">
                  <c:v>0.32950000000000002</c:v>
                </c:pt>
                <c:pt idx="16">
                  <c:v>0.32950000000000002</c:v>
                </c:pt>
              </c:numCache>
            </c:numRef>
          </c:val>
          <c:smooth val="0"/>
          <c:extLst>
            <c:ext xmlns:c16="http://schemas.microsoft.com/office/drawing/2014/chart" uri="{C3380CC4-5D6E-409C-BE32-E72D297353CC}">
              <c16:uniqueId val="{00000002-757A-44BD-A1A5-315BA4766CCD}"/>
            </c:ext>
          </c:extLst>
        </c:ser>
        <c:ser>
          <c:idx val="3"/>
          <c:order val="3"/>
          <c:tx>
            <c:strRef>
              <c:f>'Graphique pollution 1'!$F$63</c:f>
              <c:strCache>
                <c:ptCount val="1"/>
                <c:pt idx="0">
                  <c:v>AP</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1'!$F$64:$F$80</c:f>
              <c:numCache>
                <c:formatCode>General</c:formatCode>
                <c:ptCount val="17"/>
                <c:pt idx="0">
                  <c:v>0.35</c:v>
                </c:pt>
                <c:pt idx="1">
                  <c:v>0.35699999999999998</c:v>
                </c:pt>
                <c:pt idx="2">
                  <c:v>0.35699999999999998</c:v>
                </c:pt>
                <c:pt idx="3">
                  <c:v>0.36399999999999999</c:v>
                </c:pt>
                <c:pt idx="4">
                  <c:v>0.371</c:v>
                </c:pt>
                <c:pt idx="5">
                  <c:v>0.39</c:v>
                </c:pt>
                <c:pt idx="6">
                  <c:v>0.41</c:v>
                </c:pt>
                <c:pt idx="7">
                  <c:v>0.43099999999999999</c:v>
                </c:pt>
                <c:pt idx="8">
                  <c:v>0.45300000000000001</c:v>
                </c:pt>
                <c:pt idx="9">
                  <c:v>0.47599999999999998</c:v>
                </c:pt>
                <c:pt idx="10">
                  <c:v>0.5</c:v>
                </c:pt>
                <c:pt idx="11">
                  <c:v>0.45</c:v>
                </c:pt>
                <c:pt idx="12">
                  <c:v>0.45</c:v>
                </c:pt>
                <c:pt idx="13">
                  <c:v>0.45</c:v>
                </c:pt>
                <c:pt idx="14">
                  <c:v>0.45</c:v>
                </c:pt>
                <c:pt idx="15">
                  <c:v>0.45</c:v>
                </c:pt>
                <c:pt idx="16">
                  <c:v>0.45</c:v>
                </c:pt>
              </c:numCache>
            </c:numRef>
          </c:val>
          <c:smooth val="0"/>
          <c:extLst>
            <c:ext xmlns:c16="http://schemas.microsoft.com/office/drawing/2014/chart" uri="{C3380CC4-5D6E-409C-BE32-E72D297353CC}">
              <c16:uniqueId val="{00000003-757A-44BD-A1A5-315BA4766CCD}"/>
            </c:ext>
          </c:extLst>
        </c:ser>
        <c:ser>
          <c:idx val="4"/>
          <c:order val="4"/>
          <c:tx>
            <c:strRef>
              <c:f>'Graphique pollution 1'!$G$63</c:f>
              <c:strCache>
                <c:ptCount val="1"/>
                <c:pt idx="0">
                  <c:v>RM</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1'!$G$64:$G$80</c:f>
              <c:numCache>
                <c:formatCode>General</c:formatCode>
                <c:ptCount val="17"/>
                <c:pt idx="0">
                  <c:v>0.23400000000000001</c:v>
                </c:pt>
                <c:pt idx="1">
                  <c:v>0.23400000000000001</c:v>
                </c:pt>
                <c:pt idx="2">
                  <c:v>0.23899999999999999</c:v>
                </c:pt>
                <c:pt idx="3">
                  <c:v>0.23899999999999999</c:v>
                </c:pt>
                <c:pt idx="4">
                  <c:v>0.23899999999999999</c:v>
                </c:pt>
                <c:pt idx="5" formatCode="0.0000">
                  <c:v>0.26779999999999998</c:v>
                </c:pt>
                <c:pt idx="6">
                  <c:v>0.29659999999999997</c:v>
                </c:pt>
                <c:pt idx="7">
                  <c:v>0.32540000000000002</c:v>
                </c:pt>
                <c:pt idx="8">
                  <c:v>0.35420000000000001</c:v>
                </c:pt>
                <c:pt idx="9">
                  <c:v>0.38300000000000001</c:v>
                </c:pt>
                <c:pt idx="10">
                  <c:v>0.38299999999999995</c:v>
                </c:pt>
                <c:pt idx="11">
                  <c:v>0.38299999999999995</c:v>
                </c:pt>
                <c:pt idx="12">
                  <c:v>0.38299999999999995</c:v>
                </c:pt>
                <c:pt idx="13">
                  <c:v>0.38299999999999995</c:v>
                </c:pt>
                <c:pt idx="14">
                  <c:v>0.38299999999999995</c:v>
                </c:pt>
                <c:pt idx="15">
                  <c:v>0.38299999999999995</c:v>
                </c:pt>
                <c:pt idx="16">
                  <c:v>0.38299999999999995</c:v>
                </c:pt>
              </c:numCache>
            </c:numRef>
          </c:val>
          <c:smooth val="0"/>
          <c:extLst>
            <c:ext xmlns:c16="http://schemas.microsoft.com/office/drawing/2014/chart" uri="{C3380CC4-5D6E-409C-BE32-E72D297353CC}">
              <c16:uniqueId val="{00000004-757A-44BD-A1A5-315BA4766CCD}"/>
            </c:ext>
          </c:extLst>
        </c:ser>
        <c:ser>
          <c:idx val="5"/>
          <c:order val="5"/>
          <c:tx>
            <c:strRef>
              <c:f>'Graphique pollution 1'!$H$63</c:f>
              <c:strCache>
                <c:ptCount val="1"/>
                <c:pt idx="0">
                  <c:v>RMC</c:v>
                </c:pt>
              </c:strCache>
            </c:strRef>
          </c:tx>
          <c:cat>
            <c:numRef>
              <c:f>'Graphique pollution 1'!$B$64:$B$80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1'!$H$64:$H$80</c:f>
              <c:numCache>
                <c:formatCode>General</c:formatCode>
                <c:ptCount val="17"/>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numCache>
            </c:numRef>
          </c:val>
          <c:smooth val="0"/>
          <c:extLst>
            <c:ext xmlns:c16="http://schemas.microsoft.com/office/drawing/2014/chart" uri="{C3380CC4-5D6E-409C-BE32-E72D297353CC}">
              <c16:uniqueId val="{00000005-757A-44BD-A1A5-315BA4766CCD}"/>
            </c:ext>
          </c:extLst>
        </c:ser>
        <c:dLbls>
          <c:showLegendKey val="0"/>
          <c:showVal val="0"/>
          <c:showCatName val="0"/>
          <c:showSerName val="0"/>
          <c:showPercent val="0"/>
          <c:showBubbleSize val="0"/>
        </c:dLbls>
        <c:marker val="1"/>
        <c:smooth val="0"/>
        <c:axId val="91023232"/>
        <c:axId val="91024768"/>
      </c:lineChart>
      <c:catAx>
        <c:axId val="910232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024768"/>
        <c:crosses val="autoZero"/>
        <c:auto val="1"/>
        <c:lblAlgn val="ctr"/>
        <c:lblOffset val="100"/>
        <c:noMultiLvlLbl val="0"/>
      </c:catAx>
      <c:valAx>
        <c:axId val="910247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02323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1'!$C$83</c:f>
              <c:strCache>
                <c:ptCount val="1"/>
                <c:pt idx="0">
                  <c:v>AESN</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1'!$C$84:$C$100</c:f>
              <c:numCache>
                <c:formatCode>0.0000</c:formatCode>
                <c:ptCount val="17"/>
                <c:pt idx="0" formatCode="0.000">
                  <c:v>6.9000000000000006E-2</c:v>
                </c:pt>
                <c:pt idx="1">
                  <c:v>8.2799999999999999E-2</c:v>
                </c:pt>
                <c:pt idx="2">
                  <c:v>9.4E-2</c:v>
                </c:pt>
                <c:pt idx="3">
                  <c:v>0.11899999999999999</c:v>
                </c:pt>
                <c:pt idx="4">
                  <c:v>0.14299999999999999</c:v>
                </c:pt>
                <c:pt idx="5">
                  <c:v>0.15</c:v>
                </c:pt>
                <c:pt idx="6">
                  <c:v>0.16</c:v>
                </c:pt>
                <c:pt idx="7">
                  <c:v>0.15</c:v>
                </c:pt>
                <c:pt idx="8">
                  <c:v>0.17</c:v>
                </c:pt>
                <c:pt idx="9">
                  <c:v>0.17</c:v>
                </c:pt>
                <c:pt idx="10">
                  <c:v>0.18</c:v>
                </c:pt>
                <c:pt idx="11">
                  <c:v>0.18</c:v>
                </c:pt>
                <c:pt idx="12">
                  <c:v>0.18</c:v>
                </c:pt>
                <c:pt idx="13">
                  <c:v>0.18</c:v>
                </c:pt>
                <c:pt idx="14">
                  <c:v>0.18</c:v>
                </c:pt>
                <c:pt idx="15">
                  <c:v>0.18</c:v>
                </c:pt>
                <c:pt idx="16">
                  <c:v>0.18</c:v>
                </c:pt>
              </c:numCache>
            </c:numRef>
          </c:val>
          <c:smooth val="0"/>
          <c:extLst>
            <c:ext xmlns:c16="http://schemas.microsoft.com/office/drawing/2014/chart" uri="{C3380CC4-5D6E-409C-BE32-E72D297353CC}">
              <c16:uniqueId val="{00000000-A0B6-4B96-9E29-2A98EF83CCE2}"/>
            </c:ext>
          </c:extLst>
        </c:ser>
        <c:ser>
          <c:idx val="1"/>
          <c:order val="1"/>
          <c:tx>
            <c:strRef>
              <c:f>'Graphique pollution 1'!$D$83</c:f>
              <c:strCache>
                <c:ptCount val="1"/>
                <c:pt idx="0">
                  <c:v>AG</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1'!$D$84:$D$94</c:f>
              <c:numCache>
                <c:formatCode>General</c:formatCode>
                <c:ptCount val="11"/>
              </c:numCache>
            </c:numRef>
          </c:val>
          <c:smooth val="0"/>
          <c:extLst>
            <c:ext xmlns:c16="http://schemas.microsoft.com/office/drawing/2014/chart" uri="{C3380CC4-5D6E-409C-BE32-E72D297353CC}">
              <c16:uniqueId val="{00000001-A0B6-4B96-9E29-2A98EF83CCE2}"/>
            </c:ext>
          </c:extLst>
        </c:ser>
        <c:ser>
          <c:idx val="2"/>
          <c:order val="2"/>
          <c:tx>
            <c:strRef>
              <c:f>'Graphique pollution 1'!$E$83</c:f>
              <c:strCache>
                <c:ptCount val="1"/>
                <c:pt idx="0">
                  <c:v>LB</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1'!$E$84:$E$100</c:f>
              <c:numCache>
                <c:formatCode>General</c:formatCode>
                <c:ptCount val="17"/>
                <c:pt idx="11" formatCode="0.0000">
                  <c:v>0.04</c:v>
                </c:pt>
                <c:pt idx="12" formatCode="0.0000">
                  <c:v>0.04</c:v>
                </c:pt>
                <c:pt idx="13" formatCode="0.0000">
                  <c:v>0.08</c:v>
                </c:pt>
                <c:pt idx="14" formatCode="0.0000">
                  <c:v>0.08</c:v>
                </c:pt>
                <c:pt idx="15" formatCode="0.0000">
                  <c:v>9.2999999999999999E-2</c:v>
                </c:pt>
                <c:pt idx="16" formatCode="0.0000">
                  <c:v>0.105</c:v>
                </c:pt>
              </c:numCache>
            </c:numRef>
          </c:val>
          <c:smooth val="0"/>
          <c:extLst>
            <c:ext xmlns:c16="http://schemas.microsoft.com/office/drawing/2014/chart" uri="{C3380CC4-5D6E-409C-BE32-E72D297353CC}">
              <c16:uniqueId val="{00000002-A0B6-4B96-9E29-2A98EF83CCE2}"/>
            </c:ext>
          </c:extLst>
        </c:ser>
        <c:ser>
          <c:idx val="3"/>
          <c:order val="3"/>
          <c:tx>
            <c:strRef>
              <c:f>'Graphique pollution 1'!$F$83</c:f>
              <c:strCache>
                <c:ptCount val="1"/>
                <c:pt idx="0">
                  <c:v>AP</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1'!$F$84:$F$100</c:f>
              <c:numCache>
                <c:formatCode>General</c:formatCode>
                <c:ptCount val="17"/>
                <c:pt idx="11">
                  <c:v>0.1</c:v>
                </c:pt>
                <c:pt idx="12">
                  <c:v>0.1</c:v>
                </c:pt>
                <c:pt idx="13">
                  <c:v>0.1</c:v>
                </c:pt>
                <c:pt idx="14">
                  <c:v>0.1</c:v>
                </c:pt>
                <c:pt idx="15">
                  <c:v>0.1</c:v>
                </c:pt>
                <c:pt idx="16">
                  <c:v>0.1</c:v>
                </c:pt>
              </c:numCache>
            </c:numRef>
          </c:val>
          <c:smooth val="0"/>
          <c:extLst>
            <c:ext xmlns:c16="http://schemas.microsoft.com/office/drawing/2014/chart" uri="{C3380CC4-5D6E-409C-BE32-E72D297353CC}">
              <c16:uniqueId val="{00000003-A0B6-4B96-9E29-2A98EF83CCE2}"/>
            </c:ext>
          </c:extLst>
        </c:ser>
        <c:ser>
          <c:idx val="4"/>
          <c:order val="4"/>
          <c:tx>
            <c:strRef>
              <c:f>'Graphique pollution 1'!$G$83</c:f>
              <c:strCache>
                <c:ptCount val="1"/>
                <c:pt idx="0">
                  <c:v>RM</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1'!$G$84:$G$100</c:f>
              <c:numCache>
                <c:formatCode>General</c:formatCode>
                <c:ptCount val="17"/>
                <c:pt idx="0">
                  <c:v>0.10100000000000001</c:v>
                </c:pt>
                <c:pt idx="1">
                  <c:v>0.10100000000000001</c:v>
                </c:pt>
                <c:pt idx="2">
                  <c:v>0.10299999999999999</c:v>
                </c:pt>
                <c:pt idx="3">
                  <c:v>0.10299999999999999</c:v>
                </c:pt>
                <c:pt idx="4">
                  <c:v>0.10299999999999999</c:v>
                </c:pt>
                <c:pt idx="5" formatCode="0.0000">
                  <c:v>0.1152</c:v>
                </c:pt>
                <c:pt idx="6">
                  <c:v>0.12740000000000001</c:v>
                </c:pt>
                <c:pt idx="7">
                  <c:v>0.1396</c:v>
                </c:pt>
                <c:pt idx="8">
                  <c:v>0.15179999999999999</c:v>
                </c:pt>
                <c:pt idx="9">
                  <c:v>0.16399999999999995</c:v>
                </c:pt>
                <c:pt idx="10">
                  <c:v>0.16399999999999995</c:v>
                </c:pt>
                <c:pt idx="11">
                  <c:v>0.16399999999999995</c:v>
                </c:pt>
                <c:pt idx="12">
                  <c:v>0.16399999999999995</c:v>
                </c:pt>
                <c:pt idx="13">
                  <c:v>0.16399999999999995</c:v>
                </c:pt>
                <c:pt idx="14">
                  <c:v>0.16399999999999995</c:v>
                </c:pt>
                <c:pt idx="15">
                  <c:v>0.16399999999999995</c:v>
                </c:pt>
                <c:pt idx="16">
                  <c:v>0.16399999999999995</c:v>
                </c:pt>
              </c:numCache>
            </c:numRef>
          </c:val>
          <c:smooth val="0"/>
          <c:extLst>
            <c:ext xmlns:c16="http://schemas.microsoft.com/office/drawing/2014/chart" uri="{C3380CC4-5D6E-409C-BE32-E72D297353CC}">
              <c16:uniqueId val="{00000004-A0B6-4B96-9E29-2A98EF83CCE2}"/>
            </c:ext>
          </c:extLst>
        </c:ser>
        <c:ser>
          <c:idx val="5"/>
          <c:order val="5"/>
          <c:tx>
            <c:strRef>
              <c:f>'Graphique pollution 1'!$H$83</c:f>
              <c:strCache>
                <c:ptCount val="1"/>
                <c:pt idx="0">
                  <c:v>RMC</c:v>
                </c:pt>
              </c:strCache>
            </c:strRef>
          </c:tx>
          <c:cat>
            <c:numRef>
              <c:f>'Graphique pollution 1'!$B$84:$B$100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1'!$H$84:$H$100</c:f>
              <c:numCache>
                <c:formatCode>General</c:formatCode>
                <c:ptCount val="17"/>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numCache>
            </c:numRef>
          </c:val>
          <c:smooth val="0"/>
          <c:extLst>
            <c:ext xmlns:c16="http://schemas.microsoft.com/office/drawing/2014/chart" uri="{C3380CC4-5D6E-409C-BE32-E72D297353CC}">
              <c16:uniqueId val="{00000005-A0B6-4B96-9E29-2A98EF83CCE2}"/>
            </c:ext>
          </c:extLst>
        </c:ser>
        <c:dLbls>
          <c:showLegendKey val="0"/>
          <c:showVal val="0"/>
          <c:showCatName val="0"/>
          <c:showSerName val="0"/>
          <c:showPercent val="0"/>
          <c:showBubbleSize val="0"/>
        </c:dLbls>
        <c:marker val="1"/>
        <c:smooth val="0"/>
        <c:axId val="91127168"/>
        <c:axId val="91128960"/>
      </c:lineChart>
      <c:catAx>
        <c:axId val="911271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128960"/>
        <c:crosses val="autoZero"/>
        <c:auto val="1"/>
        <c:lblAlgn val="ctr"/>
        <c:lblOffset val="100"/>
        <c:noMultiLvlLbl val="0"/>
      </c:catAx>
      <c:valAx>
        <c:axId val="91128960"/>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12716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'Graphique pollution 1'!$C$103</c:f>
              <c:strCache>
                <c:ptCount val="1"/>
                <c:pt idx="0">
                  <c:v>AESN</c:v>
                </c:pt>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1'!$C$104:$C$114</c:f>
              <c:numCache>
                <c:formatCode>0.0000</c:formatCode>
                <c:ptCount val="11"/>
              </c:numCache>
            </c:numRef>
          </c:val>
          <c:smooth val="0"/>
          <c:extLst>
            <c:ext xmlns:c16="http://schemas.microsoft.com/office/drawing/2014/chart" uri="{C3380CC4-5D6E-409C-BE32-E72D297353CC}">
              <c16:uniqueId val="{00000000-E599-4D79-809E-7524E272CD99}"/>
            </c:ext>
          </c:extLst>
        </c:ser>
        <c:ser>
          <c:idx val="1"/>
          <c:order val="1"/>
          <c:tx>
            <c:strRef>
              <c:f>'Graphique pollution 1'!$D$103</c:f>
              <c:strCache>
                <c:ptCount val="1"/>
                <c:pt idx="0">
                  <c:v>AG</c:v>
                </c:pt>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1'!$D$104:$D$114</c:f>
              <c:numCache>
                <c:formatCode>General</c:formatCode>
                <c:ptCount val="11"/>
                <c:pt idx="5">
                  <c:v>0.1</c:v>
                </c:pt>
                <c:pt idx="6">
                  <c:v>0.1</c:v>
                </c:pt>
                <c:pt idx="7">
                  <c:v>0.1</c:v>
                </c:pt>
                <c:pt idx="8">
                  <c:v>0.1</c:v>
                </c:pt>
                <c:pt idx="9">
                  <c:v>0.1</c:v>
                </c:pt>
                <c:pt idx="10">
                  <c:v>0.1</c:v>
                </c:pt>
              </c:numCache>
            </c:numRef>
          </c:val>
          <c:smooth val="0"/>
          <c:extLst>
            <c:ext xmlns:c16="http://schemas.microsoft.com/office/drawing/2014/chart" uri="{C3380CC4-5D6E-409C-BE32-E72D297353CC}">
              <c16:uniqueId val="{00000001-E599-4D79-809E-7524E272CD99}"/>
            </c:ext>
          </c:extLst>
        </c:ser>
        <c:ser>
          <c:idx val="2"/>
          <c:order val="2"/>
          <c:tx>
            <c:strRef>
              <c:f>'Graphique pollution 1'!$E$103</c:f>
              <c:strCache>
                <c:ptCount val="1"/>
                <c:pt idx="0">
                  <c:v>LB</c:v>
                </c:pt>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1'!$E$104:$E$120</c:f>
              <c:numCache>
                <c:formatCode>General</c:formatCode>
                <c:ptCount val="17"/>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numCache>
            </c:numRef>
          </c:val>
          <c:smooth val="0"/>
          <c:extLst>
            <c:ext xmlns:c16="http://schemas.microsoft.com/office/drawing/2014/chart" uri="{C3380CC4-5D6E-409C-BE32-E72D297353CC}">
              <c16:uniqueId val="{00000002-E599-4D79-809E-7524E272CD99}"/>
            </c:ext>
          </c:extLst>
        </c:ser>
        <c:ser>
          <c:idx val="3"/>
          <c:order val="3"/>
          <c:tx>
            <c:strRef>
              <c:f>'Graphique pollution 1'!$F$103</c:f>
              <c:strCache>
                <c:ptCount val="1"/>
                <c:pt idx="0">
                  <c:v>AP</c:v>
                </c:pt>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1'!$F$104:$F$120</c:f>
              <c:numCache>
                <c:formatCode>General</c:formatCode>
                <c:ptCount val="17"/>
                <c:pt idx="0">
                  <c:v>0.05</c:v>
                </c:pt>
                <c:pt idx="1">
                  <c:v>5.0999999999999997E-2</c:v>
                </c:pt>
                <c:pt idx="2">
                  <c:v>5.0999999999999997E-2</c:v>
                </c:pt>
                <c:pt idx="3">
                  <c:v>5.2999999999999999E-2</c:v>
                </c:pt>
                <c:pt idx="4">
                  <c:v>5.2999999999999999E-2</c:v>
                </c:pt>
                <c:pt idx="5">
                  <c:v>5.2999999999999999E-2</c:v>
                </c:pt>
                <c:pt idx="6">
                  <c:v>5.6000000000000001E-2</c:v>
                </c:pt>
                <c:pt idx="7">
                  <c:v>5.8999999999999997E-2</c:v>
                </c:pt>
                <c:pt idx="8">
                  <c:v>6.2E-2</c:v>
                </c:pt>
                <c:pt idx="9">
                  <c:v>6.5000000000000002E-2</c:v>
                </c:pt>
                <c:pt idx="10">
                  <c:v>6.8000000000000005E-2</c:v>
                </c:pt>
                <c:pt idx="11">
                  <c:v>6.4000000000000001E-2</c:v>
                </c:pt>
                <c:pt idx="12">
                  <c:v>6.4000000000000001E-2</c:v>
                </c:pt>
                <c:pt idx="13">
                  <c:v>6.4000000000000001E-2</c:v>
                </c:pt>
                <c:pt idx="14">
                  <c:v>6.4000000000000001E-2</c:v>
                </c:pt>
                <c:pt idx="15">
                  <c:v>6.4000000000000001E-2</c:v>
                </c:pt>
                <c:pt idx="16">
                  <c:v>6.4000000000000001E-2</c:v>
                </c:pt>
              </c:numCache>
            </c:numRef>
          </c:val>
          <c:smooth val="0"/>
          <c:extLst>
            <c:ext xmlns:c16="http://schemas.microsoft.com/office/drawing/2014/chart" uri="{C3380CC4-5D6E-409C-BE32-E72D297353CC}">
              <c16:uniqueId val="{00000003-E599-4D79-809E-7524E272CD99}"/>
            </c:ext>
          </c:extLst>
        </c:ser>
        <c:ser>
          <c:idx val="4"/>
          <c:order val="4"/>
          <c:tx>
            <c:strRef>
              <c:f>'Graphique pollution 1'!$G$756</c:f>
              <c:strCache>
                <c:ptCount val="1"/>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1'!$G$104:$G$114</c:f>
              <c:numCache>
                <c:formatCode>General</c:formatCode>
                <c:ptCount val="11"/>
              </c:numCache>
            </c:numRef>
          </c:val>
          <c:smooth val="0"/>
          <c:extLst>
            <c:ext xmlns:c16="http://schemas.microsoft.com/office/drawing/2014/chart" uri="{C3380CC4-5D6E-409C-BE32-E72D297353CC}">
              <c16:uniqueId val="{00000004-E599-4D79-809E-7524E272CD99}"/>
            </c:ext>
          </c:extLst>
        </c:ser>
        <c:ser>
          <c:idx val="5"/>
          <c:order val="5"/>
          <c:tx>
            <c:strRef>
              <c:f>'Graphique pollution 1'!$H$103</c:f>
              <c:strCache>
                <c:ptCount val="1"/>
                <c:pt idx="0">
                  <c:v>RMC</c:v>
                </c:pt>
              </c:strCache>
            </c:strRef>
          </c:tx>
          <c:cat>
            <c:numRef>
              <c:f>'Graphique pollution 1'!$B$104:$B$120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1'!$H$104:$H$120</c:f>
              <c:numCache>
                <c:formatCode>General</c:formatCode>
                <c:ptCount val="17"/>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0.09</c:v>
                </c:pt>
                <c:pt idx="9">
                  <c:v>0.09</c:v>
                </c:pt>
                <c:pt idx="10">
                  <c:v>0.09</c:v>
                </c:pt>
                <c:pt idx="11">
                  <c:v>0.1</c:v>
                </c:pt>
                <c:pt idx="12">
                  <c:v>0.1</c:v>
                </c:pt>
                <c:pt idx="13">
                  <c:v>0.1</c:v>
                </c:pt>
                <c:pt idx="14">
                  <c:v>0.1</c:v>
                </c:pt>
                <c:pt idx="15">
                  <c:v>0.1</c:v>
                </c:pt>
                <c:pt idx="16">
                  <c:v>0.1</c:v>
                </c:pt>
              </c:numCache>
            </c:numRef>
          </c:val>
          <c:smooth val="0"/>
          <c:extLst>
            <c:ext xmlns:c16="http://schemas.microsoft.com/office/drawing/2014/chart" uri="{C3380CC4-5D6E-409C-BE32-E72D297353CC}">
              <c16:uniqueId val="{00000005-E599-4D79-809E-7524E272CD99}"/>
            </c:ext>
          </c:extLst>
        </c:ser>
        <c:dLbls>
          <c:showLegendKey val="0"/>
          <c:showVal val="0"/>
          <c:showCatName val="0"/>
          <c:showSerName val="0"/>
          <c:showPercent val="0"/>
          <c:showBubbleSize val="0"/>
        </c:dLbls>
        <c:marker val="1"/>
        <c:smooth val="0"/>
        <c:axId val="91382528"/>
        <c:axId val="91384064"/>
      </c:lineChart>
      <c:catAx>
        <c:axId val="913825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384064"/>
        <c:crosses val="autoZero"/>
        <c:auto val="1"/>
        <c:lblAlgn val="ctr"/>
        <c:lblOffset val="100"/>
        <c:noMultiLvlLbl val="0"/>
      </c:catAx>
      <c:valAx>
        <c:axId val="9138406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38252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1'!$C$123</c:f>
              <c:strCache>
                <c:ptCount val="1"/>
                <c:pt idx="0">
                  <c:v>AESN</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1'!$C$124:$C$140</c:f>
              <c:numCache>
                <c:formatCode>0.000</c:formatCode>
                <c:ptCount val="17"/>
                <c:pt idx="0">
                  <c:v>0.27200000000000002</c:v>
                </c:pt>
                <c:pt idx="1">
                  <c:v>0.31900000000000001</c:v>
                </c:pt>
                <c:pt idx="2">
                  <c:v>0.31900000000000001</c:v>
                </c:pt>
                <c:pt idx="3">
                  <c:v>0.35699999999999998</c:v>
                </c:pt>
                <c:pt idx="4">
                  <c:v>0.35699999999999998</c:v>
                </c:pt>
                <c:pt idx="5">
                  <c:v>0.6</c:v>
                </c:pt>
                <c:pt idx="6">
                  <c:v>0.7</c:v>
                </c:pt>
                <c:pt idx="7">
                  <c:v>0.8</c:v>
                </c:pt>
                <c:pt idx="8">
                  <c:v>0.9</c:v>
                </c:pt>
                <c:pt idx="9">
                  <c:v>1.1000000000000001</c:v>
                </c:pt>
                <c:pt idx="10">
                  <c:v>1.2</c:v>
                </c:pt>
                <c:pt idx="11">
                  <c:v>1.2</c:v>
                </c:pt>
                <c:pt idx="12">
                  <c:v>1.2</c:v>
                </c:pt>
                <c:pt idx="13">
                  <c:v>1.2</c:v>
                </c:pt>
                <c:pt idx="14">
                  <c:v>1.2</c:v>
                </c:pt>
                <c:pt idx="15">
                  <c:v>1.2</c:v>
                </c:pt>
                <c:pt idx="16">
                  <c:v>1.2</c:v>
                </c:pt>
              </c:numCache>
            </c:numRef>
          </c:val>
          <c:smooth val="0"/>
          <c:extLst>
            <c:ext xmlns:c16="http://schemas.microsoft.com/office/drawing/2014/chart" uri="{C3380CC4-5D6E-409C-BE32-E72D297353CC}">
              <c16:uniqueId val="{00000000-27A0-4A97-99D1-4402E1CBBCC9}"/>
            </c:ext>
          </c:extLst>
        </c:ser>
        <c:ser>
          <c:idx val="1"/>
          <c:order val="1"/>
          <c:tx>
            <c:strRef>
              <c:f>'Graphique pollution 1'!$D$123</c:f>
              <c:strCache>
                <c:ptCount val="1"/>
                <c:pt idx="0">
                  <c:v>AG</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1'!$D$124:$D$140</c:f>
              <c:numCache>
                <c:formatCode>General</c:formatCode>
                <c:ptCount val="17"/>
                <c:pt idx="0">
                  <c:v>0.27</c:v>
                </c:pt>
                <c:pt idx="1">
                  <c:v>0.27800000000000002</c:v>
                </c:pt>
                <c:pt idx="2">
                  <c:v>0.312</c:v>
                </c:pt>
                <c:pt idx="3">
                  <c:v>0.35</c:v>
                </c:pt>
                <c:pt idx="4">
                  <c:v>0.39400000000000002</c:v>
                </c:pt>
                <c:pt idx="5">
                  <c:v>0.4</c:v>
                </c:pt>
                <c:pt idx="6">
                  <c:v>0.41</c:v>
                </c:pt>
                <c:pt idx="7">
                  <c:v>0.42</c:v>
                </c:pt>
                <c:pt idx="8">
                  <c:v>0.43</c:v>
                </c:pt>
                <c:pt idx="9">
                  <c:v>0.44</c:v>
                </c:pt>
                <c:pt idx="10">
                  <c:v>0.44</c:v>
                </c:pt>
                <c:pt idx="11">
                  <c:v>0.44</c:v>
                </c:pt>
                <c:pt idx="12">
                  <c:v>0.44</c:v>
                </c:pt>
                <c:pt idx="13">
                  <c:v>0.44</c:v>
                </c:pt>
                <c:pt idx="14">
                  <c:v>0.44</c:v>
                </c:pt>
                <c:pt idx="15">
                  <c:v>0.44</c:v>
                </c:pt>
                <c:pt idx="16">
                  <c:v>0.44</c:v>
                </c:pt>
              </c:numCache>
            </c:numRef>
          </c:val>
          <c:smooth val="0"/>
          <c:extLst>
            <c:ext xmlns:c16="http://schemas.microsoft.com/office/drawing/2014/chart" uri="{C3380CC4-5D6E-409C-BE32-E72D297353CC}">
              <c16:uniqueId val="{00000001-27A0-4A97-99D1-4402E1CBBCC9}"/>
            </c:ext>
          </c:extLst>
        </c:ser>
        <c:ser>
          <c:idx val="2"/>
          <c:order val="2"/>
          <c:tx>
            <c:strRef>
              <c:f>'Graphique pollution 1'!$E$123</c:f>
              <c:strCache>
                <c:ptCount val="1"/>
                <c:pt idx="0">
                  <c:v>LB</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1'!$E$124:$E$140</c:f>
              <c:numCache>
                <c:formatCode>General</c:formatCode>
                <c:ptCount val="17"/>
                <c:pt idx="0">
                  <c:v>0.92400000000000004</c:v>
                </c:pt>
                <c:pt idx="1">
                  <c:v>0.94199999999999995</c:v>
                </c:pt>
                <c:pt idx="2">
                  <c:v>0.96099999999999997</c:v>
                </c:pt>
                <c:pt idx="3">
                  <c:v>0.98</c:v>
                </c:pt>
                <c:pt idx="4">
                  <c:v>1</c:v>
                </c:pt>
                <c:pt idx="5" formatCode="0.000">
                  <c:v>0.99</c:v>
                </c:pt>
                <c:pt idx="6" formatCode="0.0000">
                  <c:v>0.98009999999999997</c:v>
                </c:pt>
                <c:pt idx="7" formatCode="0.0000">
                  <c:v>0.97030000000000005</c:v>
                </c:pt>
                <c:pt idx="8" formatCode="0.0000">
                  <c:v>0.96060000000000001</c:v>
                </c:pt>
                <c:pt idx="9" formatCode="0.0000">
                  <c:v>0.95099999999999996</c:v>
                </c:pt>
                <c:pt idx="10" formatCode="0.0000">
                  <c:v>0.9415</c:v>
                </c:pt>
                <c:pt idx="11" formatCode="0.0000">
                  <c:v>0.9415</c:v>
                </c:pt>
                <c:pt idx="12" formatCode="0.0000">
                  <c:v>0.9415</c:v>
                </c:pt>
                <c:pt idx="13" formatCode="0.0000">
                  <c:v>0.9415</c:v>
                </c:pt>
                <c:pt idx="14" formatCode="0.0000">
                  <c:v>0.9415</c:v>
                </c:pt>
                <c:pt idx="15" formatCode="0.0000">
                  <c:v>0.9415</c:v>
                </c:pt>
                <c:pt idx="16" formatCode="0.0000">
                  <c:v>0.9415</c:v>
                </c:pt>
              </c:numCache>
            </c:numRef>
          </c:val>
          <c:smooth val="0"/>
          <c:extLst>
            <c:ext xmlns:c16="http://schemas.microsoft.com/office/drawing/2014/chart" uri="{C3380CC4-5D6E-409C-BE32-E72D297353CC}">
              <c16:uniqueId val="{00000002-27A0-4A97-99D1-4402E1CBBCC9}"/>
            </c:ext>
          </c:extLst>
        </c:ser>
        <c:ser>
          <c:idx val="3"/>
          <c:order val="3"/>
          <c:tx>
            <c:strRef>
              <c:f>'Graphique pollution 1'!$F$123</c:f>
              <c:strCache>
                <c:ptCount val="1"/>
                <c:pt idx="0">
                  <c:v>AP</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1'!$F$124:$F$140</c:f>
              <c:numCache>
                <c:formatCode>General</c:formatCode>
                <c:ptCount val="17"/>
                <c:pt idx="0">
                  <c:v>1</c:v>
                </c:pt>
                <c:pt idx="1">
                  <c:v>1.02</c:v>
                </c:pt>
                <c:pt idx="2">
                  <c:v>1.02</c:v>
                </c:pt>
                <c:pt idx="3">
                  <c:v>1.04</c:v>
                </c:pt>
                <c:pt idx="4">
                  <c:v>1.0609999999999999</c:v>
                </c:pt>
                <c:pt idx="5">
                  <c:v>1.1140000000000001</c:v>
                </c:pt>
                <c:pt idx="6">
                  <c:v>1.17</c:v>
                </c:pt>
                <c:pt idx="7">
                  <c:v>1.2290000000000001</c:v>
                </c:pt>
                <c:pt idx="8">
                  <c:v>1.29</c:v>
                </c:pt>
                <c:pt idx="9">
                  <c:v>1.355</c:v>
                </c:pt>
                <c:pt idx="10">
                  <c:v>1.423</c:v>
                </c:pt>
                <c:pt idx="11">
                  <c:v>1.2809999999999999</c:v>
                </c:pt>
                <c:pt idx="12">
                  <c:v>1.2809999999999999</c:v>
                </c:pt>
                <c:pt idx="13">
                  <c:v>1.2809999999999999</c:v>
                </c:pt>
                <c:pt idx="14">
                  <c:v>1.2809999999999999</c:v>
                </c:pt>
                <c:pt idx="15">
                  <c:v>1.2809999999999999</c:v>
                </c:pt>
                <c:pt idx="16">
                  <c:v>1.2809999999999999</c:v>
                </c:pt>
              </c:numCache>
            </c:numRef>
          </c:val>
          <c:smooth val="0"/>
          <c:extLst>
            <c:ext xmlns:c16="http://schemas.microsoft.com/office/drawing/2014/chart" uri="{C3380CC4-5D6E-409C-BE32-E72D297353CC}">
              <c16:uniqueId val="{00000003-27A0-4A97-99D1-4402E1CBBCC9}"/>
            </c:ext>
          </c:extLst>
        </c:ser>
        <c:ser>
          <c:idx val="4"/>
          <c:order val="4"/>
          <c:tx>
            <c:strRef>
              <c:f>'Graphique pollution 1'!$G$123</c:f>
              <c:strCache>
                <c:ptCount val="1"/>
                <c:pt idx="0">
                  <c:v>RM</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1'!$G$124:$G$140</c:f>
              <c:numCache>
                <c:formatCode>General</c:formatCode>
                <c:ptCount val="17"/>
                <c:pt idx="0">
                  <c:v>0.84199999999999997</c:v>
                </c:pt>
                <c:pt idx="1">
                  <c:v>0.84199999999999997</c:v>
                </c:pt>
                <c:pt idx="2">
                  <c:v>0.85899999999999999</c:v>
                </c:pt>
                <c:pt idx="3">
                  <c:v>0.85899999999999999</c:v>
                </c:pt>
                <c:pt idx="4">
                  <c:v>0.85899999999999999</c:v>
                </c:pt>
                <c:pt idx="5" formatCode="0.0000">
                  <c:v>0.96199999999999997</c:v>
                </c:pt>
                <c:pt idx="6">
                  <c:v>1.0649999999999999</c:v>
                </c:pt>
                <c:pt idx="7">
                  <c:v>1.1679999999999999</c:v>
                </c:pt>
                <c:pt idx="8">
                  <c:v>1.2709999999999999</c:v>
                </c:pt>
                <c:pt idx="9">
                  <c:v>1.3740000000000001</c:v>
                </c:pt>
                <c:pt idx="10">
                  <c:v>1.3739999999999999</c:v>
                </c:pt>
                <c:pt idx="11">
                  <c:v>1.3739999999999999</c:v>
                </c:pt>
                <c:pt idx="12">
                  <c:v>1.3739999999999999</c:v>
                </c:pt>
                <c:pt idx="13">
                  <c:v>1.3739999999999999</c:v>
                </c:pt>
                <c:pt idx="14">
                  <c:v>1.3739999999999999</c:v>
                </c:pt>
                <c:pt idx="15">
                  <c:v>1.3739999999999999</c:v>
                </c:pt>
                <c:pt idx="16">
                  <c:v>1.3739999999999999</c:v>
                </c:pt>
              </c:numCache>
            </c:numRef>
          </c:val>
          <c:smooth val="0"/>
          <c:extLst>
            <c:ext xmlns:c16="http://schemas.microsoft.com/office/drawing/2014/chart" uri="{C3380CC4-5D6E-409C-BE32-E72D297353CC}">
              <c16:uniqueId val="{00000004-27A0-4A97-99D1-4402E1CBBCC9}"/>
            </c:ext>
          </c:extLst>
        </c:ser>
        <c:ser>
          <c:idx val="5"/>
          <c:order val="5"/>
          <c:tx>
            <c:strRef>
              <c:f>'Graphique pollution 1'!$H$123</c:f>
              <c:strCache>
                <c:ptCount val="1"/>
                <c:pt idx="0">
                  <c:v>RMC</c:v>
                </c:pt>
              </c:strCache>
            </c:strRef>
          </c:tx>
          <c:cat>
            <c:numRef>
              <c:f>'Graphique pollution 1'!$B$124:$B$140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1'!$H$124:$H$140</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5-27A0-4A97-99D1-4402E1CBBCC9}"/>
            </c:ext>
          </c:extLst>
        </c:ser>
        <c:dLbls>
          <c:showLegendKey val="0"/>
          <c:showVal val="0"/>
          <c:showCatName val="0"/>
          <c:showSerName val="0"/>
          <c:showPercent val="0"/>
          <c:showBubbleSize val="0"/>
        </c:dLbls>
        <c:marker val="1"/>
        <c:smooth val="0"/>
        <c:axId val="91474176"/>
        <c:axId val="91475968"/>
      </c:lineChart>
      <c:catAx>
        <c:axId val="9147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475968"/>
        <c:crosses val="autoZero"/>
        <c:auto val="1"/>
        <c:lblAlgn val="ctr"/>
        <c:lblOffset val="100"/>
        <c:noMultiLvlLbl val="0"/>
      </c:catAx>
      <c:valAx>
        <c:axId val="914759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47417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1'!$C$163</c:f>
              <c:strCache>
                <c:ptCount val="1"/>
                <c:pt idx="0">
                  <c:v>AESN</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1'!$C$164:$C$180</c:f>
              <c:numCache>
                <c:formatCode>0.000</c:formatCode>
                <c:ptCount val="17"/>
                <c:pt idx="0">
                  <c:v>21.25</c:v>
                </c:pt>
                <c:pt idx="1">
                  <c:v>25.5</c:v>
                </c:pt>
                <c:pt idx="2">
                  <c:v>30.6</c:v>
                </c:pt>
                <c:pt idx="3">
                  <c:v>36.700000000000003</c:v>
                </c:pt>
                <c:pt idx="4">
                  <c:v>44.1</c:v>
                </c:pt>
                <c:pt idx="5">
                  <c:v>50</c:v>
                </c:pt>
                <c:pt idx="6">
                  <c:v>52</c:v>
                </c:pt>
                <c:pt idx="7">
                  <c:v>54</c:v>
                </c:pt>
                <c:pt idx="8">
                  <c:v>56</c:v>
                </c:pt>
                <c:pt idx="9">
                  <c:v>58</c:v>
                </c:pt>
                <c:pt idx="10">
                  <c:v>60</c:v>
                </c:pt>
                <c:pt idx="11">
                  <c:v>60</c:v>
                </c:pt>
                <c:pt idx="12">
                  <c:v>60</c:v>
                </c:pt>
                <c:pt idx="13">
                  <c:v>60</c:v>
                </c:pt>
                <c:pt idx="14">
                  <c:v>60</c:v>
                </c:pt>
                <c:pt idx="15">
                  <c:v>60</c:v>
                </c:pt>
                <c:pt idx="16">
                  <c:v>60</c:v>
                </c:pt>
              </c:numCache>
            </c:numRef>
          </c:val>
          <c:smooth val="0"/>
          <c:extLst>
            <c:ext xmlns:c16="http://schemas.microsoft.com/office/drawing/2014/chart" uri="{C3380CC4-5D6E-409C-BE32-E72D297353CC}">
              <c16:uniqueId val="{00000000-7E87-4AC5-B856-88F67A3E347B}"/>
            </c:ext>
          </c:extLst>
        </c:ser>
        <c:ser>
          <c:idx val="1"/>
          <c:order val="1"/>
          <c:tx>
            <c:strRef>
              <c:f>'Graphique pollution 1'!$D$163</c:f>
              <c:strCache>
                <c:ptCount val="1"/>
                <c:pt idx="0">
                  <c:v>AG</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1'!$D$164:$D$180</c:f>
              <c:numCache>
                <c:formatCode>General</c:formatCode>
                <c:ptCount val="17"/>
                <c:pt idx="0">
                  <c:v>8.5</c:v>
                </c:pt>
                <c:pt idx="1">
                  <c:v>8.7550000000000008</c:v>
                </c:pt>
                <c:pt idx="2">
                  <c:v>9.83</c:v>
                </c:pt>
                <c:pt idx="3">
                  <c:v>11.035</c:v>
                </c:pt>
                <c:pt idx="4">
                  <c:v>12.39</c:v>
                </c:pt>
                <c:pt idx="5">
                  <c:v>12.6</c:v>
                </c:pt>
                <c:pt idx="6">
                  <c:v>12.9</c:v>
                </c:pt>
                <c:pt idx="7">
                  <c:v>13.1</c:v>
                </c:pt>
                <c:pt idx="8">
                  <c:v>13.4</c:v>
                </c:pt>
                <c:pt idx="9">
                  <c:v>13.7</c:v>
                </c:pt>
                <c:pt idx="10">
                  <c:v>14</c:v>
                </c:pt>
                <c:pt idx="11">
                  <c:v>14</c:v>
                </c:pt>
                <c:pt idx="12">
                  <c:v>14</c:v>
                </c:pt>
                <c:pt idx="13">
                  <c:v>14</c:v>
                </c:pt>
                <c:pt idx="14">
                  <c:v>14</c:v>
                </c:pt>
                <c:pt idx="15">
                  <c:v>14</c:v>
                </c:pt>
                <c:pt idx="16">
                  <c:v>14</c:v>
                </c:pt>
              </c:numCache>
            </c:numRef>
          </c:val>
          <c:smooth val="0"/>
          <c:extLst>
            <c:ext xmlns:c16="http://schemas.microsoft.com/office/drawing/2014/chart" uri="{C3380CC4-5D6E-409C-BE32-E72D297353CC}">
              <c16:uniqueId val="{00000001-7E87-4AC5-B856-88F67A3E347B}"/>
            </c:ext>
          </c:extLst>
        </c:ser>
        <c:ser>
          <c:idx val="2"/>
          <c:order val="2"/>
          <c:tx>
            <c:strRef>
              <c:f>'Graphique pollution 1'!$E$163</c:f>
              <c:strCache>
                <c:ptCount val="1"/>
                <c:pt idx="0">
                  <c:v>LB</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1'!$E$164:$E$180</c:f>
              <c:numCache>
                <c:formatCode>General</c:formatCode>
                <c:ptCount val="17"/>
                <c:pt idx="0">
                  <c:v>55.43</c:v>
                </c:pt>
                <c:pt idx="1">
                  <c:v>56.54</c:v>
                </c:pt>
                <c:pt idx="2">
                  <c:v>57.67</c:v>
                </c:pt>
                <c:pt idx="3">
                  <c:v>58.82</c:v>
                </c:pt>
                <c:pt idx="4">
                  <c:v>60</c:v>
                </c:pt>
                <c:pt idx="5">
                  <c:v>60</c:v>
                </c:pt>
                <c:pt idx="6">
                  <c:v>60</c:v>
                </c:pt>
                <c:pt idx="7">
                  <c:v>60</c:v>
                </c:pt>
                <c:pt idx="8">
                  <c:v>60</c:v>
                </c:pt>
                <c:pt idx="9">
                  <c:v>60</c:v>
                </c:pt>
                <c:pt idx="10">
                  <c:v>60</c:v>
                </c:pt>
                <c:pt idx="11">
                  <c:v>60</c:v>
                </c:pt>
                <c:pt idx="12">
                  <c:v>60</c:v>
                </c:pt>
                <c:pt idx="13">
                  <c:v>60</c:v>
                </c:pt>
                <c:pt idx="14">
                  <c:v>60</c:v>
                </c:pt>
                <c:pt idx="15">
                  <c:v>60</c:v>
                </c:pt>
                <c:pt idx="16">
                  <c:v>60</c:v>
                </c:pt>
              </c:numCache>
            </c:numRef>
          </c:val>
          <c:smooth val="0"/>
          <c:extLst>
            <c:ext xmlns:c16="http://schemas.microsoft.com/office/drawing/2014/chart" uri="{C3380CC4-5D6E-409C-BE32-E72D297353CC}">
              <c16:uniqueId val="{00000002-7E87-4AC5-B856-88F67A3E347B}"/>
            </c:ext>
          </c:extLst>
        </c:ser>
        <c:ser>
          <c:idx val="3"/>
          <c:order val="3"/>
          <c:tx>
            <c:strRef>
              <c:f>'Graphique pollution 1'!$F$163</c:f>
              <c:strCache>
                <c:ptCount val="1"/>
                <c:pt idx="0">
                  <c:v>AP</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1'!$F$164:$F$180</c:f>
              <c:numCache>
                <c:formatCode>General</c:formatCode>
                <c:ptCount val="17"/>
                <c:pt idx="0">
                  <c:v>42.5</c:v>
                </c:pt>
                <c:pt idx="1">
                  <c:v>43.35</c:v>
                </c:pt>
                <c:pt idx="2">
                  <c:v>43.35</c:v>
                </c:pt>
                <c:pt idx="3">
                  <c:v>44.216999999999999</c:v>
                </c:pt>
                <c:pt idx="4">
                  <c:v>45.100999999999999</c:v>
                </c:pt>
                <c:pt idx="5">
                  <c:v>47.356000000000002</c:v>
                </c:pt>
                <c:pt idx="6">
                  <c:v>49.723999999999997</c:v>
                </c:pt>
                <c:pt idx="7">
                  <c:v>52.21</c:v>
                </c:pt>
                <c:pt idx="8">
                  <c:v>54.820999999999998</c:v>
                </c:pt>
                <c:pt idx="9">
                  <c:v>57.561999999999998</c:v>
                </c:pt>
                <c:pt idx="10">
                  <c:v>60.643999999999998</c:v>
                </c:pt>
                <c:pt idx="11">
                  <c:v>54.396000000000001</c:v>
                </c:pt>
                <c:pt idx="12">
                  <c:v>54.396000000000001</c:v>
                </c:pt>
                <c:pt idx="13">
                  <c:v>54.396000000000001</c:v>
                </c:pt>
                <c:pt idx="14">
                  <c:v>54.396000000000001</c:v>
                </c:pt>
                <c:pt idx="15">
                  <c:v>54.396000000000001</c:v>
                </c:pt>
                <c:pt idx="16">
                  <c:v>54.396000000000001</c:v>
                </c:pt>
              </c:numCache>
            </c:numRef>
          </c:val>
          <c:smooth val="0"/>
          <c:extLst>
            <c:ext xmlns:c16="http://schemas.microsoft.com/office/drawing/2014/chart" uri="{C3380CC4-5D6E-409C-BE32-E72D297353CC}">
              <c16:uniqueId val="{00000003-7E87-4AC5-B856-88F67A3E347B}"/>
            </c:ext>
          </c:extLst>
        </c:ser>
        <c:ser>
          <c:idx val="4"/>
          <c:order val="4"/>
          <c:tx>
            <c:strRef>
              <c:f>'Graphique pollution 1'!$G$163</c:f>
              <c:strCache>
                <c:ptCount val="1"/>
                <c:pt idx="0">
                  <c:v>RM</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1'!$G$164:$G$180</c:f>
              <c:numCache>
                <c:formatCode>General</c:formatCode>
                <c:ptCount val="17"/>
                <c:pt idx="0">
                  <c:v>42.5</c:v>
                </c:pt>
                <c:pt idx="1">
                  <c:v>42.5</c:v>
                </c:pt>
                <c:pt idx="2">
                  <c:v>43.35</c:v>
                </c:pt>
                <c:pt idx="3">
                  <c:v>43.35</c:v>
                </c:pt>
                <c:pt idx="4">
                  <c:v>43.35</c:v>
                </c:pt>
                <c:pt idx="5">
                  <c:v>43.35</c:v>
                </c:pt>
                <c:pt idx="6">
                  <c:v>43.35</c:v>
                </c:pt>
                <c:pt idx="7">
                  <c:v>43.35</c:v>
                </c:pt>
                <c:pt idx="8">
                  <c:v>43.35</c:v>
                </c:pt>
                <c:pt idx="9">
                  <c:v>43.35</c:v>
                </c:pt>
                <c:pt idx="10">
                  <c:v>43.35</c:v>
                </c:pt>
                <c:pt idx="11">
                  <c:v>43.35</c:v>
                </c:pt>
                <c:pt idx="12">
                  <c:v>43.35</c:v>
                </c:pt>
                <c:pt idx="13">
                  <c:v>43.35</c:v>
                </c:pt>
                <c:pt idx="14">
                  <c:v>43.35</c:v>
                </c:pt>
                <c:pt idx="15">
                  <c:v>43.35</c:v>
                </c:pt>
                <c:pt idx="16">
                  <c:v>43.35</c:v>
                </c:pt>
              </c:numCache>
            </c:numRef>
          </c:val>
          <c:smooth val="0"/>
          <c:extLst>
            <c:ext xmlns:c16="http://schemas.microsoft.com/office/drawing/2014/chart" uri="{C3380CC4-5D6E-409C-BE32-E72D297353CC}">
              <c16:uniqueId val="{00000004-7E87-4AC5-B856-88F67A3E347B}"/>
            </c:ext>
          </c:extLst>
        </c:ser>
        <c:ser>
          <c:idx val="5"/>
          <c:order val="5"/>
          <c:tx>
            <c:strRef>
              <c:f>'Graphique pollution 1'!$H$163</c:f>
              <c:strCache>
                <c:ptCount val="1"/>
                <c:pt idx="0">
                  <c:v>RMC</c:v>
                </c:pt>
              </c:strCache>
            </c:strRef>
          </c:tx>
          <c:cat>
            <c:numRef>
              <c:f>'Graphique pollution 1'!$B$164:$B$180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1'!$H$164:$H$180</c:f>
              <c:numCache>
                <c:formatCode>General</c:formatCode>
                <c:ptCount val="17"/>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numCache>
            </c:numRef>
          </c:val>
          <c:smooth val="0"/>
          <c:extLst>
            <c:ext xmlns:c16="http://schemas.microsoft.com/office/drawing/2014/chart" uri="{C3380CC4-5D6E-409C-BE32-E72D297353CC}">
              <c16:uniqueId val="{00000005-7E87-4AC5-B856-88F67A3E347B}"/>
            </c:ext>
          </c:extLst>
        </c:ser>
        <c:dLbls>
          <c:showLegendKey val="0"/>
          <c:showVal val="0"/>
          <c:showCatName val="0"/>
          <c:showSerName val="0"/>
          <c:showPercent val="0"/>
          <c:showBubbleSize val="0"/>
        </c:dLbls>
        <c:marker val="1"/>
        <c:smooth val="0"/>
        <c:axId val="91586560"/>
        <c:axId val="91588096"/>
      </c:lineChart>
      <c:catAx>
        <c:axId val="915865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588096"/>
        <c:crosses val="autoZero"/>
        <c:auto val="1"/>
        <c:lblAlgn val="ctr"/>
        <c:lblOffset val="100"/>
        <c:noMultiLvlLbl val="0"/>
      </c:catAx>
      <c:valAx>
        <c:axId val="9158809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58656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pollution 1'!$C$183</c:f>
              <c:strCache>
                <c:ptCount val="1"/>
                <c:pt idx="0">
                  <c:v>AESN</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1'!$C$184:$C$200</c:f>
              <c:numCache>
                <c:formatCode>0.000</c:formatCode>
                <c:ptCount val="17"/>
                <c:pt idx="0">
                  <c:v>1.6</c:v>
                </c:pt>
                <c:pt idx="1">
                  <c:v>1.9</c:v>
                </c:pt>
                <c:pt idx="2">
                  <c:v>2.2999999999999998</c:v>
                </c:pt>
                <c:pt idx="3">
                  <c:v>2.7</c:v>
                </c:pt>
                <c:pt idx="4">
                  <c:v>3</c:v>
                </c:pt>
                <c:pt idx="5">
                  <c:v>3</c:v>
                </c:pt>
                <c:pt idx="6">
                  <c:v>3.4</c:v>
                </c:pt>
                <c:pt idx="7">
                  <c:v>3.8</c:v>
                </c:pt>
                <c:pt idx="8">
                  <c:v>4.2</c:v>
                </c:pt>
                <c:pt idx="9">
                  <c:v>4.5999999999999996</c:v>
                </c:pt>
                <c:pt idx="10">
                  <c:v>5</c:v>
                </c:pt>
                <c:pt idx="11">
                  <c:v>5</c:v>
                </c:pt>
                <c:pt idx="12">
                  <c:v>5</c:v>
                </c:pt>
                <c:pt idx="13">
                  <c:v>5</c:v>
                </c:pt>
                <c:pt idx="14">
                  <c:v>5</c:v>
                </c:pt>
                <c:pt idx="15">
                  <c:v>5</c:v>
                </c:pt>
                <c:pt idx="16">
                  <c:v>5</c:v>
                </c:pt>
              </c:numCache>
            </c:numRef>
          </c:val>
          <c:smooth val="0"/>
          <c:extLst>
            <c:ext xmlns:c16="http://schemas.microsoft.com/office/drawing/2014/chart" uri="{C3380CC4-5D6E-409C-BE32-E72D297353CC}">
              <c16:uniqueId val="{00000000-459C-470F-BAF0-05B57F484F8E}"/>
            </c:ext>
          </c:extLst>
        </c:ser>
        <c:ser>
          <c:idx val="1"/>
          <c:order val="1"/>
          <c:tx>
            <c:strRef>
              <c:f>'Graphique pollution 1'!$D$183</c:f>
              <c:strCache>
                <c:ptCount val="1"/>
                <c:pt idx="0">
                  <c:v>AG</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1'!$D$184:$D$200</c:f>
              <c:numCache>
                <c:formatCode>General</c:formatCode>
                <c:ptCount val="17"/>
                <c:pt idx="0">
                  <c:v>0.85</c:v>
                </c:pt>
                <c:pt idx="1">
                  <c:v>0.876</c:v>
                </c:pt>
                <c:pt idx="2">
                  <c:v>0.98299999999999998</c:v>
                </c:pt>
                <c:pt idx="3">
                  <c:v>1.1040000000000001</c:v>
                </c:pt>
                <c:pt idx="4">
                  <c:v>1.2390000000000001</c:v>
                </c:pt>
                <c:pt idx="5">
                  <c:v>1.26</c:v>
                </c:pt>
                <c:pt idx="6">
                  <c:v>1.29</c:v>
                </c:pt>
                <c:pt idx="7">
                  <c:v>1.31</c:v>
                </c:pt>
                <c:pt idx="8">
                  <c:v>1.34</c:v>
                </c:pt>
                <c:pt idx="9">
                  <c:v>1.37</c:v>
                </c:pt>
                <c:pt idx="10">
                  <c:v>1.4</c:v>
                </c:pt>
                <c:pt idx="11">
                  <c:v>1.4</c:v>
                </c:pt>
                <c:pt idx="12">
                  <c:v>1.4</c:v>
                </c:pt>
                <c:pt idx="13">
                  <c:v>1.4</c:v>
                </c:pt>
                <c:pt idx="14">
                  <c:v>1.4</c:v>
                </c:pt>
                <c:pt idx="15">
                  <c:v>1.4</c:v>
                </c:pt>
                <c:pt idx="16">
                  <c:v>1.4</c:v>
                </c:pt>
              </c:numCache>
            </c:numRef>
          </c:val>
          <c:smooth val="0"/>
          <c:extLst>
            <c:ext xmlns:c16="http://schemas.microsoft.com/office/drawing/2014/chart" uri="{C3380CC4-5D6E-409C-BE32-E72D297353CC}">
              <c16:uniqueId val="{00000001-459C-470F-BAF0-05B57F484F8E}"/>
            </c:ext>
          </c:extLst>
        </c:ser>
        <c:ser>
          <c:idx val="2"/>
          <c:order val="2"/>
          <c:tx>
            <c:strRef>
              <c:f>'Graphique pollution 1'!$E$183</c:f>
              <c:strCache>
                <c:ptCount val="1"/>
                <c:pt idx="0">
                  <c:v>LB</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1'!$E$184:$E$200</c:f>
              <c:numCache>
                <c:formatCode>General</c:formatCode>
                <c:ptCount val="17"/>
                <c:pt idx="0">
                  <c:v>8.5</c:v>
                </c:pt>
                <c:pt idx="1">
                  <c:v>8.5</c:v>
                </c:pt>
                <c:pt idx="2">
                  <c:v>8.5</c:v>
                </c:pt>
                <c:pt idx="3">
                  <c:v>8.5</c:v>
                </c:pt>
                <c:pt idx="4">
                  <c:v>8.5</c:v>
                </c:pt>
                <c:pt idx="5">
                  <c:v>8.5</c:v>
                </c:pt>
                <c:pt idx="6">
                  <c:v>8.5</c:v>
                </c:pt>
                <c:pt idx="7">
                  <c:v>8.5</c:v>
                </c:pt>
                <c:pt idx="8">
                  <c:v>8.5</c:v>
                </c:pt>
                <c:pt idx="9">
                  <c:v>8.5</c:v>
                </c:pt>
                <c:pt idx="10">
                  <c:v>8.5</c:v>
                </c:pt>
                <c:pt idx="11">
                  <c:v>8.5</c:v>
                </c:pt>
                <c:pt idx="12">
                  <c:v>8.5</c:v>
                </c:pt>
                <c:pt idx="13">
                  <c:v>8.5</c:v>
                </c:pt>
                <c:pt idx="14">
                  <c:v>8.5</c:v>
                </c:pt>
                <c:pt idx="15">
                  <c:v>8.5</c:v>
                </c:pt>
                <c:pt idx="16">
                  <c:v>8.5</c:v>
                </c:pt>
              </c:numCache>
            </c:numRef>
          </c:val>
          <c:smooth val="0"/>
          <c:extLst>
            <c:ext xmlns:c16="http://schemas.microsoft.com/office/drawing/2014/chart" uri="{C3380CC4-5D6E-409C-BE32-E72D297353CC}">
              <c16:uniqueId val="{00000002-459C-470F-BAF0-05B57F484F8E}"/>
            </c:ext>
          </c:extLst>
        </c:ser>
        <c:ser>
          <c:idx val="3"/>
          <c:order val="3"/>
          <c:tx>
            <c:strRef>
              <c:f>'Graphique pollution 1'!$F$183</c:f>
              <c:strCache>
                <c:ptCount val="1"/>
                <c:pt idx="0">
                  <c:v>AP</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1'!$F$184:$F$200</c:f>
              <c:numCache>
                <c:formatCode>General</c:formatCode>
                <c:ptCount val="17"/>
                <c:pt idx="0">
                  <c:v>4.25</c:v>
                </c:pt>
                <c:pt idx="1">
                  <c:v>4.335</c:v>
                </c:pt>
                <c:pt idx="2">
                  <c:v>4.335</c:v>
                </c:pt>
                <c:pt idx="3">
                  <c:v>4.4219999999999997</c:v>
                </c:pt>
                <c:pt idx="4">
                  <c:v>4.51</c:v>
                </c:pt>
                <c:pt idx="5">
                  <c:v>4.7359999999999998</c:v>
                </c:pt>
                <c:pt idx="6">
                  <c:v>4.9729999999999999</c:v>
                </c:pt>
                <c:pt idx="7">
                  <c:v>5.2220000000000004</c:v>
                </c:pt>
                <c:pt idx="8">
                  <c:v>5.4829999999999997</c:v>
                </c:pt>
                <c:pt idx="9">
                  <c:v>5.7370000000000001</c:v>
                </c:pt>
                <c:pt idx="10">
                  <c:v>6.0449999999999999</c:v>
                </c:pt>
                <c:pt idx="11">
                  <c:v>5.4409999999999998</c:v>
                </c:pt>
                <c:pt idx="12">
                  <c:v>5.4409999999999998</c:v>
                </c:pt>
                <c:pt idx="13">
                  <c:v>5.4409999999999998</c:v>
                </c:pt>
                <c:pt idx="14">
                  <c:v>5.4409999999999998</c:v>
                </c:pt>
                <c:pt idx="15">
                  <c:v>5.4409999999999998</c:v>
                </c:pt>
                <c:pt idx="16">
                  <c:v>5.4409999999999998</c:v>
                </c:pt>
              </c:numCache>
            </c:numRef>
          </c:val>
          <c:smooth val="0"/>
          <c:extLst>
            <c:ext xmlns:c16="http://schemas.microsoft.com/office/drawing/2014/chart" uri="{C3380CC4-5D6E-409C-BE32-E72D297353CC}">
              <c16:uniqueId val="{00000003-459C-470F-BAF0-05B57F484F8E}"/>
            </c:ext>
          </c:extLst>
        </c:ser>
        <c:ser>
          <c:idx val="4"/>
          <c:order val="4"/>
          <c:tx>
            <c:strRef>
              <c:f>'Graphique pollution 1'!$G$183</c:f>
              <c:strCache>
                <c:ptCount val="1"/>
                <c:pt idx="0">
                  <c:v>RM</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1'!$G$184:$G$194</c:f>
              <c:numCache>
                <c:formatCode>General</c:formatCode>
                <c:ptCount val="11"/>
              </c:numCache>
            </c:numRef>
          </c:val>
          <c:smooth val="0"/>
          <c:extLst>
            <c:ext xmlns:c16="http://schemas.microsoft.com/office/drawing/2014/chart" uri="{C3380CC4-5D6E-409C-BE32-E72D297353CC}">
              <c16:uniqueId val="{00000004-459C-470F-BAF0-05B57F484F8E}"/>
            </c:ext>
          </c:extLst>
        </c:ser>
        <c:ser>
          <c:idx val="5"/>
          <c:order val="5"/>
          <c:tx>
            <c:strRef>
              <c:f>'Graphique pollution 1'!$H$183</c:f>
              <c:strCache>
                <c:ptCount val="1"/>
                <c:pt idx="0">
                  <c:v>RMC</c:v>
                </c:pt>
              </c:strCache>
            </c:strRef>
          </c:tx>
          <c:cat>
            <c:numRef>
              <c:f>'Graphique pollution 1'!$B$184:$B$200</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'Graphique pollution 1'!$H$184:$H$200</c:f>
              <c:numCache>
                <c:formatCode>General</c:formatCode>
                <c:ptCount val="17"/>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numCache>
            </c:numRef>
          </c:val>
          <c:smooth val="0"/>
          <c:extLst>
            <c:ext xmlns:c16="http://schemas.microsoft.com/office/drawing/2014/chart" uri="{C3380CC4-5D6E-409C-BE32-E72D297353CC}">
              <c16:uniqueId val="{00000005-459C-470F-BAF0-05B57F484F8E}"/>
            </c:ext>
          </c:extLst>
        </c:ser>
        <c:dLbls>
          <c:showLegendKey val="0"/>
          <c:showVal val="0"/>
          <c:showCatName val="0"/>
          <c:showSerName val="0"/>
          <c:showPercent val="0"/>
          <c:showBubbleSize val="0"/>
        </c:dLbls>
        <c:marker val="1"/>
        <c:smooth val="0"/>
        <c:axId val="91690496"/>
        <c:axId val="91692032"/>
      </c:lineChart>
      <c:catAx>
        <c:axId val="916904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92032"/>
        <c:crosses val="autoZero"/>
        <c:auto val="1"/>
        <c:lblAlgn val="ctr"/>
        <c:lblOffset val="100"/>
        <c:noMultiLvlLbl val="0"/>
      </c:catAx>
      <c:valAx>
        <c:axId val="91692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69049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66675</xdr:rowOff>
    </xdr:from>
    <xdr:to>
      <xdr:col>17</xdr:col>
      <xdr:colOff>95250</xdr:colOff>
      <xdr:row>14</xdr:row>
      <xdr:rowOff>38100</xdr:rowOff>
    </xdr:to>
    <xdr:graphicFrame macro="">
      <xdr:nvGraphicFramePr>
        <xdr:cNvPr id="60655" name="Graphique 2">
          <a:extLst>
            <a:ext uri="{FF2B5EF4-FFF2-40B4-BE49-F238E27FC236}">
              <a16:creationId xmlns:a16="http://schemas.microsoft.com/office/drawing/2014/main" id="{00000000-0008-0000-0C00-0000EF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742949</xdr:colOff>
      <xdr:row>22</xdr:row>
      <xdr:rowOff>104775</xdr:rowOff>
    </xdr:from>
    <xdr:to>
      <xdr:col>17</xdr:col>
      <xdr:colOff>47624</xdr:colOff>
      <xdr:row>34</xdr:row>
      <xdr:rowOff>0</xdr:rowOff>
    </xdr:to>
    <xdr:graphicFrame macro="">
      <xdr:nvGraphicFramePr>
        <xdr:cNvPr id="60656" name="Graphique 3">
          <a:extLst>
            <a:ext uri="{FF2B5EF4-FFF2-40B4-BE49-F238E27FC236}">
              <a16:creationId xmlns:a16="http://schemas.microsoft.com/office/drawing/2014/main" id="{00000000-0008-0000-0C00-0000F0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9524</xdr:colOff>
      <xdr:row>42</xdr:row>
      <xdr:rowOff>219075</xdr:rowOff>
    </xdr:from>
    <xdr:to>
      <xdr:col>16</xdr:col>
      <xdr:colOff>704849</xdr:colOff>
      <xdr:row>54</xdr:row>
      <xdr:rowOff>152400</xdr:rowOff>
    </xdr:to>
    <xdr:graphicFrame macro="">
      <xdr:nvGraphicFramePr>
        <xdr:cNvPr id="60657" name="Graphique 4">
          <a:extLst>
            <a:ext uri="{FF2B5EF4-FFF2-40B4-BE49-F238E27FC236}">
              <a16:creationId xmlns:a16="http://schemas.microsoft.com/office/drawing/2014/main" id="{00000000-0008-0000-0C00-0000F1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62</xdr:row>
      <xdr:rowOff>228600</xdr:rowOff>
    </xdr:from>
    <xdr:to>
      <xdr:col>17</xdr:col>
      <xdr:colOff>47625</xdr:colOff>
      <xdr:row>76</xdr:row>
      <xdr:rowOff>9525</xdr:rowOff>
    </xdr:to>
    <xdr:graphicFrame macro="">
      <xdr:nvGraphicFramePr>
        <xdr:cNvPr id="60658" name="Graphique 4">
          <a:extLst>
            <a:ext uri="{FF2B5EF4-FFF2-40B4-BE49-F238E27FC236}">
              <a16:creationId xmlns:a16="http://schemas.microsoft.com/office/drawing/2014/main" id="{00000000-0008-0000-0C00-0000F2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83</xdr:row>
      <xdr:rowOff>19050</xdr:rowOff>
    </xdr:from>
    <xdr:to>
      <xdr:col>17</xdr:col>
      <xdr:colOff>0</xdr:colOff>
      <xdr:row>94</xdr:row>
      <xdr:rowOff>142875</xdr:rowOff>
    </xdr:to>
    <xdr:graphicFrame macro="">
      <xdr:nvGraphicFramePr>
        <xdr:cNvPr id="60659" name="Graphique 12">
          <a:extLst>
            <a:ext uri="{FF2B5EF4-FFF2-40B4-BE49-F238E27FC236}">
              <a16:creationId xmlns:a16="http://schemas.microsoft.com/office/drawing/2014/main" id="{00000000-0008-0000-0C00-0000F3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723900</xdr:colOff>
      <xdr:row>103</xdr:row>
      <xdr:rowOff>9525</xdr:rowOff>
    </xdr:from>
    <xdr:to>
      <xdr:col>17</xdr:col>
      <xdr:colOff>0</xdr:colOff>
      <xdr:row>113</xdr:row>
      <xdr:rowOff>180975</xdr:rowOff>
    </xdr:to>
    <xdr:graphicFrame macro="">
      <xdr:nvGraphicFramePr>
        <xdr:cNvPr id="60660" name="Graphique 4">
          <a:extLst>
            <a:ext uri="{FF2B5EF4-FFF2-40B4-BE49-F238E27FC236}">
              <a16:creationId xmlns:a16="http://schemas.microsoft.com/office/drawing/2014/main" id="{00000000-0008-0000-0C00-0000F4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122</xdr:row>
      <xdr:rowOff>209550</xdr:rowOff>
    </xdr:from>
    <xdr:to>
      <xdr:col>16</xdr:col>
      <xdr:colOff>752475</xdr:colOff>
      <xdr:row>134</xdr:row>
      <xdr:rowOff>238125</xdr:rowOff>
    </xdr:to>
    <xdr:graphicFrame macro="">
      <xdr:nvGraphicFramePr>
        <xdr:cNvPr id="60661" name="Graphique 4">
          <a:extLst>
            <a:ext uri="{FF2B5EF4-FFF2-40B4-BE49-F238E27FC236}">
              <a16:creationId xmlns:a16="http://schemas.microsoft.com/office/drawing/2014/main" id="{00000000-0008-0000-0C00-0000F5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761999</xdr:colOff>
      <xdr:row>162</xdr:row>
      <xdr:rowOff>0</xdr:rowOff>
    </xdr:from>
    <xdr:to>
      <xdr:col>17</xdr:col>
      <xdr:colOff>9524</xdr:colOff>
      <xdr:row>173</xdr:row>
      <xdr:rowOff>219075</xdr:rowOff>
    </xdr:to>
    <xdr:graphicFrame macro="">
      <xdr:nvGraphicFramePr>
        <xdr:cNvPr id="60662" name="Graphique 4">
          <a:extLst>
            <a:ext uri="{FF2B5EF4-FFF2-40B4-BE49-F238E27FC236}">
              <a16:creationId xmlns:a16="http://schemas.microsoft.com/office/drawing/2014/main" id="{00000000-0008-0000-0C00-0000F6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761999</xdr:colOff>
      <xdr:row>182</xdr:row>
      <xdr:rowOff>0</xdr:rowOff>
    </xdr:from>
    <xdr:to>
      <xdr:col>17</xdr:col>
      <xdr:colOff>9524</xdr:colOff>
      <xdr:row>194</xdr:row>
      <xdr:rowOff>9525</xdr:rowOff>
    </xdr:to>
    <xdr:graphicFrame macro="">
      <xdr:nvGraphicFramePr>
        <xdr:cNvPr id="60663" name="Graphique 4">
          <a:extLst>
            <a:ext uri="{FF2B5EF4-FFF2-40B4-BE49-F238E27FC236}">
              <a16:creationId xmlns:a16="http://schemas.microsoft.com/office/drawing/2014/main" id="{00000000-0008-0000-0C00-0000F7E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352425</xdr:colOff>
      <xdr:row>2</xdr:row>
      <xdr:rowOff>104775</xdr:rowOff>
    </xdr:from>
    <xdr:to>
      <xdr:col>11</xdr:col>
      <xdr:colOff>400050</xdr:colOff>
      <xdr:row>12</xdr:row>
      <xdr:rowOff>200025</xdr:rowOff>
    </xdr:to>
    <xdr:cxnSp macro="">
      <xdr:nvCxnSpPr>
        <xdr:cNvPr id="26" name="Connecteur droit 25">
          <a:extLst>
            <a:ext uri="{FF2B5EF4-FFF2-40B4-BE49-F238E27FC236}">
              <a16:creationId xmlns:a16="http://schemas.microsoft.com/office/drawing/2014/main" id="{00000000-0008-0000-0C00-00001A000000}"/>
            </a:ext>
          </a:extLst>
        </xdr:cNvPr>
        <xdr:cNvCxnSpPr/>
      </xdr:nvCxnSpPr>
      <xdr:spPr>
        <a:xfrm flipH="1" flipV="1">
          <a:off x="8639175" y="428625"/>
          <a:ext cx="47625" cy="2495550"/>
        </a:xfrm>
        <a:prstGeom prst="line">
          <a:avLst/>
        </a:prstGeom>
        <a:ln w="28575">
          <a:solidFill>
            <a:srgbClr val="FF00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685800</xdr:colOff>
      <xdr:row>23</xdr:row>
      <xdr:rowOff>9525</xdr:rowOff>
    </xdr:from>
    <xdr:to>
      <xdr:col>13</xdr:col>
      <xdr:colOff>57150</xdr:colOff>
      <xdr:row>24</xdr:row>
      <xdr:rowOff>8268</xdr:rowOff>
    </xdr:to>
    <xdr:sp macro="" textlink="">
      <xdr:nvSpPr>
        <xdr:cNvPr id="27" name="ZoneTexte 1">
          <a:extLst>
            <a:ext uri="{FF2B5EF4-FFF2-40B4-BE49-F238E27FC236}">
              <a16:creationId xmlns:a16="http://schemas.microsoft.com/office/drawing/2014/main" id="{00000000-0008-0000-0C00-00001B000000}"/>
            </a:ext>
          </a:extLst>
        </xdr:cNvPr>
        <xdr:cNvSpPr txBox="1"/>
      </xdr:nvSpPr>
      <xdr:spPr>
        <a:xfrm>
          <a:off x="9077325" y="3971925"/>
          <a:ext cx="895350" cy="2463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400" b="1">
              <a:solidFill>
                <a:srgbClr val="FF0000"/>
              </a:solidFill>
            </a:rPr>
            <a:t>DCO</a:t>
          </a:r>
          <a:r>
            <a:rPr lang="fr-FR" sz="1400" b="1" baseline="0">
              <a:solidFill>
                <a:srgbClr val="FF0000"/>
              </a:solidFill>
            </a:rPr>
            <a:t> nd</a:t>
          </a:r>
          <a:endParaRPr lang="fr-FR" sz="1400" b="1">
            <a:solidFill>
              <a:srgbClr val="FF0000"/>
            </a:solidFill>
          </a:endParaRPr>
        </a:p>
      </xdr:txBody>
    </xdr:sp>
    <xdr:clientData/>
  </xdr:twoCellAnchor>
  <xdr:twoCellAnchor>
    <xdr:from>
      <xdr:col>11</xdr:col>
      <xdr:colOff>352425</xdr:colOff>
      <xdr:row>22</xdr:row>
      <xdr:rowOff>219075</xdr:rowOff>
    </xdr:from>
    <xdr:to>
      <xdr:col>11</xdr:col>
      <xdr:colOff>361950</xdr:colOff>
      <xdr:row>32</xdr:row>
      <xdr:rowOff>161925</xdr:rowOff>
    </xdr:to>
    <xdr:cxnSp macro="">
      <xdr:nvCxnSpPr>
        <xdr:cNvPr id="28" name="Connecteur droit 27">
          <a:extLst>
            <a:ext uri="{FF2B5EF4-FFF2-40B4-BE49-F238E27FC236}">
              <a16:creationId xmlns:a16="http://schemas.microsoft.com/office/drawing/2014/main" id="{00000000-0008-0000-0C00-00001C000000}"/>
            </a:ext>
          </a:extLst>
        </xdr:cNvPr>
        <xdr:cNvCxnSpPr/>
      </xdr:nvCxnSpPr>
      <xdr:spPr>
        <a:xfrm flipH="1" flipV="1">
          <a:off x="8639175" y="5419725"/>
          <a:ext cx="9525" cy="241935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342900</xdr:colOff>
      <xdr:row>43</xdr:row>
      <xdr:rowOff>76200</xdr:rowOff>
    </xdr:from>
    <xdr:to>
      <xdr:col>11</xdr:col>
      <xdr:colOff>352425</xdr:colOff>
      <xdr:row>53</xdr:row>
      <xdr:rowOff>66675</xdr:rowOff>
    </xdr:to>
    <xdr:cxnSp macro="">
      <xdr:nvCxnSpPr>
        <xdr:cNvPr id="29" name="Connecteur droit 28">
          <a:extLst>
            <a:ext uri="{FF2B5EF4-FFF2-40B4-BE49-F238E27FC236}">
              <a16:creationId xmlns:a16="http://schemas.microsoft.com/office/drawing/2014/main" id="{00000000-0008-0000-0C00-00001D000000}"/>
            </a:ext>
          </a:extLst>
        </xdr:cNvPr>
        <xdr:cNvCxnSpPr/>
      </xdr:nvCxnSpPr>
      <xdr:spPr>
        <a:xfrm flipH="1" flipV="1">
          <a:off x="8629650" y="10477500"/>
          <a:ext cx="9525" cy="246697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392430</xdr:colOff>
      <xdr:row>64</xdr:row>
      <xdr:rowOff>60960</xdr:rowOff>
    </xdr:from>
    <xdr:to>
      <xdr:col>11</xdr:col>
      <xdr:colOff>392430</xdr:colOff>
      <xdr:row>74</xdr:row>
      <xdr:rowOff>184785</xdr:rowOff>
    </xdr:to>
    <xdr:cxnSp macro="">
      <xdr:nvCxnSpPr>
        <xdr:cNvPr id="30" name="Connecteur droit 29">
          <a:extLst>
            <a:ext uri="{FF2B5EF4-FFF2-40B4-BE49-F238E27FC236}">
              <a16:creationId xmlns:a16="http://schemas.microsoft.com/office/drawing/2014/main" id="{00000000-0008-0000-0C00-00001E000000}"/>
            </a:ext>
          </a:extLst>
        </xdr:cNvPr>
        <xdr:cNvCxnSpPr/>
      </xdr:nvCxnSpPr>
      <xdr:spPr>
        <a:xfrm flipV="1">
          <a:off x="8995410" y="15910560"/>
          <a:ext cx="0" cy="263842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342900</xdr:colOff>
      <xdr:row>83</xdr:row>
      <xdr:rowOff>133350</xdr:rowOff>
    </xdr:from>
    <xdr:to>
      <xdr:col>11</xdr:col>
      <xdr:colOff>361950</xdr:colOff>
      <xdr:row>93</xdr:row>
      <xdr:rowOff>57151</xdr:rowOff>
    </xdr:to>
    <xdr:cxnSp macro="">
      <xdr:nvCxnSpPr>
        <xdr:cNvPr id="31" name="Connecteur droit 30">
          <a:extLst>
            <a:ext uri="{FF2B5EF4-FFF2-40B4-BE49-F238E27FC236}">
              <a16:creationId xmlns:a16="http://schemas.microsoft.com/office/drawing/2014/main" id="{00000000-0008-0000-0C00-00001F000000}"/>
            </a:ext>
          </a:extLst>
        </xdr:cNvPr>
        <xdr:cNvCxnSpPr/>
      </xdr:nvCxnSpPr>
      <xdr:spPr>
        <a:xfrm flipH="1" flipV="1">
          <a:off x="8629650" y="20440650"/>
          <a:ext cx="19050" cy="2400301"/>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oneCellAnchor>
    <xdr:from>
      <xdr:col>10</xdr:col>
      <xdr:colOff>495300</xdr:colOff>
      <xdr:row>82</xdr:row>
      <xdr:rowOff>161925</xdr:rowOff>
    </xdr:from>
    <xdr:ext cx="424347" cy="311496"/>
    <xdr:sp macro="" textlink="">
      <xdr:nvSpPr>
        <xdr:cNvPr id="15" name="ZoneTexte 14">
          <a:extLst>
            <a:ext uri="{FF2B5EF4-FFF2-40B4-BE49-F238E27FC236}">
              <a16:creationId xmlns:a16="http://schemas.microsoft.com/office/drawing/2014/main" id="{00000000-0008-0000-0C00-00000F000000}"/>
            </a:ext>
          </a:extLst>
        </xdr:cNvPr>
        <xdr:cNvSpPr txBox="1"/>
      </xdr:nvSpPr>
      <xdr:spPr>
        <a:xfrm>
          <a:off x="8020050" y="13287375"/>
          <a:ext cx="42434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NO</a:t>
          </a:r>
        </a:p>
      </xdr:txBody>
    </xdr:sp>
    <xdr:clientData/>
  </xdr:oneCellAnchor>
  <xdr:twoCellAnchor>
    <xdr:from>
      <xdr:col>11</xdr:col>
      <xdr:colOff>333377</xdr:colOff>
      <xdr:row>103</xdr:row>
      <xdr:rowOff>19050</xdr:rowOff>
    </xdr:from>
    <xdr:to>
      <xdr:col>11</xdr:col>
      <xdr:colOff>342900</xdr:colOff>
      <xdr:row>112</xdr:row>
      <xdr:rowOff>85727</xdr:rowOff>
    </xdr:to>
    <xdr:cxnSp macro="">
      <xdr:nvCxnSpPr>
        <xdr:cNvPr id="33" name="Connecteur droit 32">
          <a:extLst>
            <a:ext uri="{FF2B5EF4-FFF2-40B4-BE49-F238E27FC236}">
              <a16:creationId xmlns:a16="http://schemas.microsoft.com/office/drawing/2014/main" id="{00000000-0008-0000-0C00-000021000000}"/>
            </a:ext>
          </a:extLst>
        </xdr:cNvPr>
        <xdr:cNvCxnSpPr/>
      </xdr:nvCxnSpPr>
      <xdr:spPr>
        <a:xfrm flipV="1">
          <a:off x="8620127" y="25279350"/>
          <a:ext cx="9523" cy="2295527"/>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371475</xdr:colOff>
      <xdr:row>123</xdr:row>
      <xdr:rowOff>85725</xdr:rowOff>
    </xdr:from>
    <xdr:to>
      <xdr:col>11</xdr:col>
      <xdr:colOff>381000</xdr:colOff>
      <xdr:row>133</xdr:row>
      <xdr:rowOff>171450</xdr:rowOff>
    </xdr:to>
    <xdr:cxnSp macro="">
      <xdr:nvCxnSpPr>
        <xdr:cNvPr id="35" name="Connecteur droit 34">
          <a:extLst>
            <a:ext uri="{FF2B5EF4-FFF2-40B4-BE49-F238E27FC236}">
              <a16:creationId xmlns:a16="http://schemas.microsoft.com/office/drawing/2014/main" id="{00000000-0008-0000-0C00-000023000000}"/>
            </a:ext>
          </a:extLst>
        </xdr:cNvPr>
        <xdr:cNvCxnSpPr/>
      </xdr:nvCxnSpPr>
      <xdr:spPr>
        <a:xfrm flipV="1">
          <a:off x="8658225" y="30299025"/>
          <a:ext cx="9525" cy="256222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342900</xdr:colOff>
      <xdr:row>162</xdr:row>
      <xdr:rowOff>66675</xdr:rowOff>
    </xdr:from>
    <xdr:to>
      <xdr:col>11</xdr:col>
      <xdr:colOff>381000</xdr:colOff>
      <xdr:row>172</xdr:row>
      <xdr:rowOff>142875</xdr:rowOff>
    </xdr:to>
    <xdr:cxnSp macro="">
      <xdr:nvCxnSpPr>
        <xdr:cNvPr id="38" name="Connecteur droit 37">
          <a:extLst>
            <a:ext uri="{FF2B5EF4-FFF2-40B4-BE49-F238E27FC236}">
              <a16:creationId xmlns:a16="http://schemas.microsoft.com/office/drawing/2014/main" id="{00000000-0008-0000-0C00-000026000000}"/>
            </a:ext>
          </a:extLst>
        </xdr:cNvPr>
        <xdr:cNvCxnSpPr/>
      </xdr:nvCxnSpPr>
      <xdr:spPr>
        <a:xfrm flipV="1">
          <a:off x="8629650" y="40128825"/>
          <a:ext cx="38100" cy="255270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371475</xdr:colOff>
      <xdr:row>182</xdr:row>
      <xdr:rowOff>76200</xdr:rowOff>
    </xdr:from>
    <xdr:to>
      <xdr:col>11</xdr:col>
      <xdr:colOff>371475</xdr:colOff>
      <xdr:row>192</xdr:row>
      <xdr:rowOff>180975</xdr:rowOff>
    </xdr:to>
    <xdr:cxnSp macro="">
      <xdr:nvCxnSpPr>
        <xdr:cNvPr id="39" name="Connecteur droit 38">
          <a:extLst>
            <a:ext uri="{FF2B5EF4-FFF2-40B4-BE49-F238E27FC236}">
              <a16:creationId xmlns:a16="http://schemas.microsoft.com/office/drawing/2014/main" id="{00000000-0008-0000-0C00-000027000000}"/>
            </a:ext>
          </a:extLst>
        </xdr:cNvPr>
        <xdr:cNvCxnSpPr/>
      </xdr:nvCxnSpPr>
      <xdr:spPr>
        <a:xfrm flipV="1">
          <a:off x="8658225" y="45091350"/>
          <a:ext cx="0" cy="258127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oneCellAnchor>
    <xdr:from>
      <xdr:col>9</xdr:col>
      <xdr:colOff>647700</xdr:colOff>
      <xdr:row>162</xdr:row>
      <xdr:rowOff>180975</xdr:rowOff>
    </xdr:from>
    <xdr:ext cx="1355949" cy="311496"/>
    <xdr:sp macro="" textlink="">
      <xdr:nvSpPr>
        <xdr:cNvPr id="16" name="ZoneTexte 15">
          <a:extLst>
            <a:ext uri="{FF2B5EF4-FFF2-40B4-BE49-F238E27FC236}">
              <a16:creationId xmlns:a16="http://schemas.microsoft.com/office/drawing/2014/main" id="{00000000-0008-0000-0C00-000010000000}"/>
            </a:ext>
          </a:extLst>
        </xdr:cNvPr>
        <xdr:cNvSpPr txBox="1"/>
      </xdr:nvSpPr>
      <xdr:spPr>
        <a:xfrm>
          <a:off x="7410450" y="26184225"/>
          <a:ext cx="1355949"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Chaleur Surface</a:t>
          </a:r>
        </a:p>
      </xdr:txBody>
    </xdr:sp>
    <xdr:clientData/>
  </xdr:oneCellAnchor>
  <xdr:twoCellAnchor>
    <xdr:from>
      <xdr:col>13</xdr:col>
      <xdr:colOff>542925</xdr:colOff>
      <xdr:row>2</xdr:row>
      <xdr:rowOff>104775</xdr:rowOff>
    </xdr:from>
    <xdr:to>
      <xdr:col>13</xdr:col>
      <xdr:colOff>600075</xdr:colOff>
      <xdr:row>12</xdr:row>
      <xdr:rowOff>228600</xdr:rowOff>
    </xdr:to>
    <xdr:cxnSp macro="">
      <xdr:nvCxnSpPr>
        <xdr:cNvPr id="34" name="Connecteur droit 33">
          <a:extLst>
            <a:ext uri="{FF2B5EF4-FFF2-40B4-BE49-F238E27FC236}">
              <a16:creationId xmlns:a16="http://schemas.microsoft.com/office/drawing/2014/main" id="{5FDDDF85-A4EA-4985-A6F6-9C90C408CFA5}"/>
            </a:ext>
          </a:extLst>
        </xdr:cNvPr>
        <xdr:cNvCxnSpPr/>
      </xdr:nvCxnSpPr>
      <xdr:spPr>
        <a:xfrm flipH="1" flipV="1">
          <a:off x="10353675" y="428625"/>
          <a:ext cx="57150" cy="2524125"/>
        </a:xfrm>
        <a:prstGeom prst="line">
          <a:avLst/>
        </a:prstGeom>
        <a:ln w="28575">
          <a:solidFill>
            <a:srgbClr val="FF00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542925</xdr:colOff>
      <xdr:row>22</xdr:row>
      <xdr:rowOff>238125</xdr:rowOff>
    </xdr:from>
    <xdr:to>
      <xdr:col>13</xdr:col>
      <xdr:colOff>552450</xdr:colOff>
      <xdr:row>32</xdr:row>
      <xdr:rowOff>180975</xdr:rowOff>
    </xdr:to>
    <xdr:cxnSp macro="">
      <xdr:nvCxnSpPr>
        <xdr:cNvPr id="40" name="Connecteur droit 39">
          <a:extLst>
            <a:ext uri="{FF2B5EF4-FFF2-40B4-BE49-F238E27FC236}">
              <a16:creationId xmlns:a16="http://schemas.microsoft.com/office/drawing/2014/main" id="{C2047E5E-B58F-4E17-B563-461B18318B0B}"/>
            </a:ext>
          </a:extLst>
        </xdr:cNvPr>
        <xdr:cNvCxnSpPr/>
      </xdr:nvCxnSpPr>
      <xdr:spPr>
        <a:xfrm flipH="1" flipV="1">
          <a:off x="10353675" y="5438775"/>
          <a:ext cx="9525" cy="241935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476250</xdr:colOff>
      <xdr:row>43</xdr:row>
      <xdr:rowOff>104775</xdr:rowOff>
    </xdr:from>
    <xdr:to>
      <xdr:col>13</xdr:col>
      <xdr:colOff>485775</xdr:colOff>
      <xdr:row>53</xdr:row>
      <xdr:rowOff>95250</xdr:rowOff>
    </xdr:to>
    <xdr:cxnSp macro="">
      <xdr:nvCxnSpPr>
        <xdr:cNvPr id="41" name="Connecteur droit 40">
          <a:extLst>
            <a:ext uri="{FF2B5EF4-FFF2-40B4-BE49-F238E27FC236}">
              <a16:creationId xmlns:a16="http://schemas.microsoft.com/office/drawing/2014/main" id="{3D89C027-5FF7-4835-B12D-D71C8A365879}"/>
            </a:ext>
          </a:extLst>
        </xdr:cNvPr>
        <xdr:cNvCxnSpPr/>
      </xdr:nvCxnSpPr>
      <xdr:spPr>
        <a:xfrm flipH="1" flipV="1">
          <a:off x="10287000" y="10506075"/>
          <a:ext cx="9525" cy="246697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495300</xdr:colOff>
      <xdr:row>83</xdr:row>
      <xdr:rowOff>142875</xdr:rowOff>
    </xdr:from>
    <xdr:to>
      <xdr:col>13</xdr:col>
      <xdr:colOff>514350</xdr:colOff>
      <xdr:row>93</xdr:row>
      <xdr:rowOff>66676</xdr:rowOff>
    </xdr:to>
    <xdr:cxnSp macro="">
      <xdr:nvCxnSpPr>
        <xdr:cNvPr id="42" name="Connecteur droit 41">
          <a:extLst>
            <a:ext uri="{FF2B5EF4-FFF2-40B4-BE49-F238E27FC236}">
              <a16:creationId xmlns:a16="http://schemas.microsoft.com/office/drawing/2014/main" id="{DF7E3AEA-D3BA-4C8F-AF35-BC5BF15B3F03}"/>
            </a:ext>
          </a:extLst>
        </xdr:cNvPr>
        <xdr:cNvCxnSpPr/>
      </xdr:nvCxnSpPr>
      <xdr:spPr>
        <a:xfrm flipH="1" flipV="1">
          <a:off x="10306050" y="20450175"/>
          <a:ext cx="19050" cy="2400301"/>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523875</xdr:colOff>
      <xdr:row>123</xdr:row>
      <xdr:rowOff>76200</xdr:rowOff>
    </xdr:from>
    <xdr:to>
      <xdr:col>13</xdr:col>
      <xdr:colOff>533400</xdr:colOff>
      <xdr:row>133</xdr:row>
      <xdr:rowOff>161925</xdr:rowOff>
    </xdr:to>
    <xdr:cxnSp macro="">
      <xdr:nvCxnSpPr>
        <xdr:cNvPr id="43" name="Connecteur droit 42">
          <a:extLst>
            <a:ext uri="{FF2B5EF4-FFF2-40B4-BE49-F238E27FC236}">
              <a16:creationId xmlns:a16="http://schemas.microsoft.com/office/drawing/2014/main" id="{918D6FD9-3C37-4019-A7CF-3FBE1692A464}"/>
            </a:ext>
          </a:extLst>
        </xdr:cNvPr>
        <xdr:cNvCxnSpPr/>
      </xdr:nvCxnSpPr>
      <xdr:spPr>
        <a:xfrm flipV="1">
          <a:off x="10334625" y="30289500"/>
          <a:ext cx="9525" cy="256222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523875</xdr:colOff>
      <xdr:row>162</xdr:row>
      <xdr:rowOff>57150</xdr:rowOff>
    </xdr:from>
    <xdr:to>
      <xdr:col>13</xdr:col>
      <xdr:colOff>561975</xdr:colOff>
      <xdr:row>172</xdr:row>
      <xdr:rowOff>133350</xdr:rowOff>
    </xdr:to>
    <xdr:cxnSp macro="">
      <xdr:nvCxnSpPr>
        <xdr:cNvPr id="45" name="Connecteur droit 44">
          <a:extLst>
            <a:ext uri="{FF2B5EF4-FFF2-40B4-BE49-F238E27FC236}">
              <a16:creationId xmlns:a16="http://schemas.microsoft.com/office/drawing/2014/main" id="{8C4C7EB9-09B3-4A41-AE9A-CFF47378EFC8}"/>
            </a:ext>
          </a:extLst>
        </xdr:cNvPr>
        <xdr:cNvCxnSpPr/>
      </xdr:nvCxnSpPr>
      <xdr:spPr>
        <a:xfrm flipV="1">
          <a:off x="10334625" y="40119300"/>
          <a:ext cx="38100" cy="255270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533400</xdr:colOff>
      <xdr:row>182</xdr:row>
      <xdr:rowOff>66675</xdr:rowOff>
    </xdr:from>
    <xdr:to>
      <xdr:col>13</xdr:col>
      <xdr:colOff>533400</xdr:colOff>
      <xdr:row>192</xdr:row>
      <xdr:rowOff>171450</xdr:rowOff>
    </xdr:to>
    <xdr:cxnSp macro="">
      <xdr:nvCxnSpPr>
        <xdr:cNvPr id="46" name="Connecteur droit 45">
          <a:extLst>
            <a:ext uri="{FF2B5EF4-FFF2-40B4-BE49-F238E27FC236}">
              <a16:creationId xmlns:a16="http://schemas.microsoft.com/office/drawing/2014/main" id="{0CBBBCBA-6A9F-4F50-B67B-AFEBB7E8841E}"/>
            </a:ext>
          </a:extLst>
        </xdr:cNvPr>
        <xdr:cNvCxnSpPr/>
      </xdr:nvCxnSpPr>
      <xdr:spPr>
        <a:xfrm flipV="1">
          <a:off x="10344150" y="45081825"/>
          <a:ext cx="0" cy="258127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97155</xdr:colOff>
      <xdr:row>64</xdr:row>
      <xdr:rowOff>220980</xdr:rowOff>
    </xdr:from>
    <xdr:to>
      <xdr:col>14</xdr:col>
      <xdr:colOff>97156</xdr:colOff>
      <xdr:row>74</xdr:row>
      <xdr:rowOff>182881</xdr:rowOff>
    </xdr:to>
    <xdr:cxnSp macro="">
      <xdr:nvCxnSpPr>
        <xdr:cNvPr id="32" name="Connecteur droit 31">
          <a:extLst>
            <a:ext uri="{FF2B5EF4-FFF2-40B4-BE49-F238E27FC236}">
              <a16:creationId xmlns:a16="http://schemas.microsoft.com/office/drawing/2014/main" id="{48684C9A-8D58-450D-86F3-EF7DDB309F12}"/>
            </a:ext>
          </a:extLst>
        </xdr:cNvPr>
        <xdr:cNvCxnSpPr/>
      </xdr:nvCxnSpPr>
      <xdr:spPr>
        <a:xfrm flipH="1" flipV="1">
          <a:off x="11077575" y="16070580"/>
          <a:ext cx="1" cy="2476501"/>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504825</xdr:colOff>
      <xdr:row>103</xdr:row>
      <xdr:rowOff>0</xdr:rowOff>
    </xdr:from>
    <xdr:to>
      <xdr:col>13</xdr:col>
      <xdr:colOff>504827</xdr:colOff>
      <xdr:row>112</xdr:row>
      <xdr:rowOff>76202</xdr:rowOff>
    </xdr:to>
    <xdr:cxnSp macro="">
      <xdr:nvCxnSpPr>
        <xdr:cNvPr id="36" name="Connecteur droit 35">
          <a:extLst>
            <a:ext uri="{FF2B5EF4-FFF2-40B4-BE49-F238E27FC236}">
              <a16:creationId xmlns:a16="http://schemas.microsoft.com/office/drawing/2014/main" id="{2E618094-0389-4A80-B498-13D7842C029D}"/>
            </a:ext>
          </a:extLst>
        </xdr:cNvPr>
        <xdr:cNvCxnSpPr/>
      </xdr:nvCxnSpPr>
      <xdr:spPr>
        <a:xfrm flipH="1" flipV="1">
          <a:off x="10315575" y="25260300"/>
          <a:ext cx="2" cy="2305052"/>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217170</xdr:colOff>
      <xdr:row>92</xdr:row>
      <xdr:rowOff>179070</xdr:rowOff>
    </xdr:from>
    <xdr:to>
      <xdr:col>11</xdr:col>
      <xdr:colOff>226695</xdr:colOff>
      <xdr:row>103</xdr:row>
      <xdr:rowOff>13335</xdr:rowOff>
    </xdr:to>
    <xdr:cxnSp macro="">
      <xdr:nvCxnSpPr>
        <xdr:cNvPr id="48" name="Connecteur droit 47">
          <a:extLst>
            <a:ext uri="{FF2B5EF4-FFF2-40B4-BE49-F238E27FC236}">
              <a16:creationId xmlns:a16="http://schemas.microsoft.com/office/drawing/2014/main" id="{90B9F38E-B0C1-4CAB-80EA-1E9CE9FAF69A}"/>
            </a:ext>
          </a:extLst>
        </xdr:cNvPr>
        <xdr:cNvCxnSpPr/>
      </xdr:nvCxnSpPr>
      <xdr:spPr>
        <a:xfrm flipV="1">
          <a:off x="8820150" y="23069550"/>
          <a:ext cx="9525" cy="278320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769620</xdr:colOff>
      <xdr:row>143</xdr:row>
      <xdr:rowOff>118110</xdr:rowOff>
    </xdr:from>
    <xdr:to>
      <xdr:col>17</xdr:col>
      <xdr:colOff>594360</xdr:colOff>
      <xdr:row>158</xdr:row>
      <xdr:rowOff>114300</xdr:rowOff>
    </xdr:to>
    <xdr:graphicFrame macro="">
      <xdr:nvGraphicFramePr>
        <xdr:cNvPr id="3" name="Graphique 2">
          <a:extLst>
            <a:ext uri="{FF2B5EF4-FFF2-40B4-BE49-F238E27FC236}">
              <a16:creationId xmlns:a16="http://schemas.microsoft.com/office/drawing/2014/main" id="{9D1CEC88-1AD7-43CF-BA6A-47FD0795AD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512445</xdr:colOff>
      <xdr:row>145</xdr:row>
      <xdr:rowOff>45720</xdr:rowOff>
    </xdr:from>
    <xdr:to>
      <xdr:col>11</xdr:col>
      <xdr:colOff>521970</xdr:colOff>
      <xdr:row>156</xdr:row>
      <xdr:rowOff>62865</xdr:rowOff>
    </xdr:to>
    <xdr:cxnSp macro="">
      <xdr:nvCxnSpPr>
        <xdr:cNvPr id="50" name="Connecteur droit 49">
          <a:extLst>
            <a:ext uri="{FF2B5EF4-FFF2-40B4-BE49-F238E27FC236}">
              <a16:creationId xmlns:a16="http://schemas.microsoft.com/office/drawing/2014/main" id="{A0D6E108-1251-4FD8-B4E6-19EE5C8AF2B8}"/>
            </a:ext>
          </a:extLst>
        </xdr:cNvPr>
        <xdr:cNvCxnSpPr/>
      </xdr:nvCxnSpPr>
      <xdr:spPr>
        <a:xfrm flipV="1">
          <a:off x="9115425" y="36629340"/>
          <a:ext cx="9525" cy="278320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108585</xdr:colOff>
      <xdr:row>145</xdr:row>
      <xdr:rowOff>83820</xdr:rowOff>
    </xdr:from>
    <xdr:to>
      <xdr:col>14</xdr:col>
      <xdr:colOff>118110</xdr:colOff>
      <xdr:row>156</xdr:row>
      <xdr:rowOff>100965</xdr:rowOff>
    </xdr:to>
    <xdr:cxnSp macro="">
      <xdr:nvCxnSpPr>
        <xdr:cNvPr id="37" name="Connecteur droit 36">
          <a:extLst>
            <a:ext uri="{FF2B5EF4-FFF2-40B4-BE49-F238E27FC236}">
              <a16:creationId xmlns:a16="http://schemas.microsoft.com/office/drawing/2014/main" id="{00000000-0008-0000-0C00-000025000000}"/>
            </a:ext>
          </a:extLst>
        </xdr:cNvPr>
        <xdr:cNvCxnSpPr/>
      </xdr:nvCxnSpPr>
      <xdr:spPr>
        <a:xfrm flipV="1">
          <a:off x="11089005" y="36667440"/>
          <a:ext cx="9525" cy="278320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0.47292</cdr:x>
      <cdr:y>0.06944</cdr:y>
    </cdr:from>
    <cdr:to>
      <cdr:x>0.60625</cdr:x>
      <cdr:y>0.15625</cdr:y>
    </cdr:to>
    <cdr:sp macro="" textlink="">
      <cdr:nvSpPr>
        <cdr:cNvPr id="2" name="ZoneTexte 1">
          <a:extLst xmlns:a="http://schemas.openxmlformats.org/drawingml/2006/main">
            <a:ext uri="{FF2B5EF4-FFF2-40B4-BE49-F238E27FC236}">
              <a16:creationId xmlns:a16="http://schemas.microsoft.com/office/drawing/2014/main" id="{4BEBA635-4B05-4546-8A31-C16ECFB9C725}"/>
            </a:ext>
          </a:extLst>
        </cdr:cNvPr>
        <cdr:cNvSpPr txBox="1"/>
      </cdr:nvSpPr>
      <cdr:spPr>
        <a:xfrm xmlns:a="http://schemas.openxmlformats.org/drawingml/2006/main">
          <a:off x="2162175" y="197115"/>
          <a:ext cx="609600" cy="2463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400" b="1">
              <a:solidFill>
                <a:srgbClr val="FF0000"/>
              </a:solidFill>
            </a:rPr>
            <a:t>MES</a:t>
          </a:r>
        </a:p>
      </cdr:txBody>
    </cdr:sp>
  </cdr:relSizeAnchor>
</c:userShapes>
</file>

<file path=xl/drawings/drawing3.xml><?xml version="1.0" encoding="utf-8"?>
<c:userShapes xmlns:c="http://schemas.openxmlformats.org/drawingml/2006/chart">
  <cdr:relSizeAnchor xmlns:cdr="http://schemas.openxmlformats.org/drawingml/2006/chartDrawing">
    <cdr:from>
      <cdr:x>0.25208</cdr:x>
      <cdr:y>0.06885</cdr:y>
    </cdr:from>
    <cdr:to>
      <cdr:x>0.45208</cdr:x>
      <cdr:y>0.15082</cdr:y>
    </cdr:to>
    <cdr:sp macro="" textlink="">
      <cdr:nvSpPr>
        <cdr:cNvPr id="2" name="ZoneTexte 1">
          <a:extLst xmlns:a="http://schemas.openxmlformats.org/drawingml/2006/main">
            <a:ext uri="{FF2B5EF4-FFF2-40B4-BE49-F238E27FC236}">
              <a16:creationId xmlns:a16="http://schemas.microsoft.com/office/drawing/2014/main" id="{C1683D16-8989-4651-82B8-663289B78994}"/>
            </a:ext>
          </a:extLst>
        </cdr:cNvPr>
        <cdr:cNvSpPr txBox="1"/>
      </cdr:nvSpPr>
      <cdr:spPr>
        <a:xfrm xmlns:a="http://schemas.openxmlformats.org/drawingml/2006/main">
          <a:off x="1152525" y="200025"/>
          <a:ext cx="91440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400" b="1">
              <a:solidFill>
                <a:srgbClr val="FF0000"/>
              </a:solidFill>
            </a:rPr>
            <a:t>DBO</a:t>
          </a:r>
          <a:r>
            <a:rPr lang="fr-FR" sz="1400" b="1" baseline="0">
              <a:solidFill>
                <a:srgbClr val="FF0000"/>
              </a:solidFill>
            </a:rPr>
            <a:t> nd</a:t>
          </a:r>
          <a:endParaRPr lang="fr-FR" sz="1400" b="1">
            <a:solidFill>
              <a:srgbClr val="FF0000"/>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0.30208</cdr:x>
      <cdr:y>0.05696</cdr:y>
    </cdr:from>
    <cdr:to>
      <cdr:x>0.46042</cdr:x>
      <cdr:y>0.14557</cdr:y>
    </cdr:to>
    <cdr:sp macro="" textlink="">
      <cdr:nvSpPr>
        <cdr:cNvPr id="2" name="ZoneTexte 1">
          <a:extLst xmlns:a="http://schemas.openxmlformats.org/drawingml/2006/main">
            <a:ext uri="{FF2B5EF4-FFF2-40B4-BE49-F238E27FC236}">
              <a16:creationId xmlns:a16="http://schemas.microsoft.com/office/drawing/2014/main" id="{11357622-7F7C-498E-957A-1CE4C900F789}"/>
            </a:ext>
          </a:extLst>
        </cdr:cNvPr>
        <cdr:cNvSpPr txBox="1"/>
      </cdr:nvSpPr>
      <cdr:spPr>
        <a:xfrm xmlns:a="http://schemas.openxmlformats.org/drawingml/2006/main">
          <a:off x="1381125" y="171450"/>
          <a:ext cx="723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400" b="1">
              <a:solidFill>
                <a:srgbClr val="FF0000"/>
              </a:solidFill>
            </a:rPr>
            <a:t>NR</a:t>
          </a:r>
        </a:p>
      </cdr:txBody>
    </cdr:sp>
  </cdr:relSizeAnchor>
</c:userShapes>
</file>

<file path=xl/drawings/drawing5.xml><?xml version="1.0" encoding="utf-8"?>
<c:userShapes xmlns:c="http://schemas.openxmlformats.org/drawingml/2006/chart">
  <cdr:relSizeAnchor xmlns:cdr="http://schemas.openxmlformats.org/drawingml/2006/chartDrawing">
    <cdr:from>
      <cdr:x>0.17083</cdr:x>
      <cdr:y>0.07261</cdr:y>
    </cdr:from>
    <cdr:to>
      <cdr:x>0.37083</cdr:x>
      <cdr:y>0.16502</cdr:y>
    </cdr:to>
    <cdr:sp macro="" textlink="">
      <cdr:nvSpPr>
        <cdr:cNvPr id="2" name="ZoneTexte 1">
          <a:extLst xmlns:a="http://schemas.openxmlformats.org/drawingml/2006/main">
            <a:ext uri="{FF2B5EF4-FFF2-40B4-BE49-F238E27FC236}">
              <a16:creationId xmlns:a16="http://schemas.microsoft.com/office/drawing/2014/main" id="{FE130B50-89DC-42FD-9512-F90E36BE7563}"/>
            </a:ext>
          </a:extLst>
        </cdr:cNvPr>
        <cdr:cNvSpPr txBox="1"/>
      </cdr:nvSpPr>
      <cdr:spPr>
        <a:xfrm xmlns:a="http://schemas.openxmlformats.org/drawingml/2006/main">
          <a:off x="781050" y="209550"/>
          <a:ext cx="9144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400" b="1">
              <a:solidFill>
                <a:srgbClr val="FF0000"/>
              </a:solidFill>
            </a:rPr>
            <a:t>MES Mer</a:t>
          </a:r>
        </a:p>
      </cdr:txBody>
    </cdr:sp>
  </cdr:relSizeAnchor>
</c:userShapes>
</file>

<file path=xl/drawings/drawing6.xml><?xml version="1.0" encoding="utf-8"?>
<c:userShapes xmlns:c="http://schemas.openxmlformats.org/drawingml/2006/chart">
  <cdr:relSizeAnchor xmlns:cdr="http://schemas.openxmlformats.org/drawingml/2006/chartDrawing">
    <cdr:from>
      <cdr:x>0.41232</cdr:x>
      <cdr:y>0.05079</cdr:y>
    </cdr:from>
    <cdr:to>
      <cdr:x>0.53315</cdr:x>
      <cdr:y>0.12063</cdr:y>
    </cdr:to>
    <cdr:sp macro="" textlink="">
      <cdr:nvSpPr>
        <cdr:cNvPr id="2" name="ZoneTexte 1">
          <a:extLst xmlns:a="http://schemas.openxmlformats.org/drawingml/2006/main">
            <a:ext uri="{FF2B5EF4-FFF2-40B4-BE49-F238E27FC236}">
              <a16:creationId xmlns:a16="http://schemas.microsoft.com/office/drawing/2014/main" id="{590475CB-2AC8-4710-897E-F5F75A7D1AE1}"/>
            </a:ext>
          </a:extLst>
        </cdr:cNvPr>
        <cdr:cNvSpPr txBox="1"/>
      </cdr:nvSpPr>
      <cdr:spPr>
        <a:xfrm xmlns:a="http://schemas.openxmlformats.org/drawingml/2006/main">
          <a:off x="2505651" y="152391"/>
          <a:ext cx="734278" cy="2095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400" b="1">
              <a:solidFill>
                <a:srgbClr val="FF0000"/>
              </a:solidFill>
            </a:rPr>
            <a:t>P</a:t>
          </a:r>
        </a:p>
      </cdr:txBody>
    </cdr:sp>
  </cdr:relSizeAnchor>
</c:userShapes>
</file>

<file path=xl/drawings/drawing7.xml><?xml version="1.0" encoding="utf-8"?>
<c:userShapes xmlns:c="http://schemas.openxmlformats.org/drawingml/2006/chart">
  <cdr:relSizeAnchor xmlns:cdr="http://schemas.openxmlformats.org/drawingml/2006/chartDrawing">
    <cdr:from>
      <cdr:x>0.46944</cdr:x>
      <cdr:y>0.13439</cdr:y>
    </cdr:from>
    <cdr:to>
      <cdr:x>0.71246</cdr:x>
      <cdr:y>0.23821</cdr:y>
    </cdr:to>
    <cdr:sp macro="" textlink="">
      <cdr:nvSpPr>
        <cdr:cNvPr id="2" name="ZoneTexte 15">
          <a:extLst xmlns:a="http://schemas.openxmlformats.org/drawingml/2006/main">
            <a:ext uri="{FF2B5EF4-FFF2-40B4-BE49-F238E27FC236}">
              <a16:creationId xmlns:a16="http://schemas.microsoft.com/office/drawing/2014/main" id="{28C89F1D-9257-44DA-9BC3-DC973B986448}"/>
            </a:ext>
          </a:extLst>
        </cdr:cNvPr>
        <cdr:cNvSpPr txBox="1"/>
      </cdr:nvSpPr>
      <cdr:spPr>
        <a:xfrm xmlns:a="http://schemas.openxmlformats.org/drawingml/2006/main">
          <a:off x="2146300" y="403225"/>
          <a:ext cx="1111073"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400" b="1">
              <a:solidFill>
                <a:srgbClr val="FF0000"/>
              </a:solidFill>
            </a:rPr>
            <a:t>Chaleur Mer</a:t>
          </a: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304800</xdr:colOff>
      <xdr:row>0</xdr:row>
      <xdr:rowOff>523875</xdr:rowOff>
    </xdr:from>
    <xdr:to>
      <xdr:col>17</xdr:col>
      <xdr:colOff>0</xdr:colOff>
      <xdr:row>13</xdr:row>
      <xdr:rowOff>22412</xdr:rowOff>
    </xdr:to>
    <xdr:graphicFrame macro="">
      <xdr:nvGraphicFramePr>
        <xdr:cNvPr id="1774" name="Graphique 1">
          <a:extLst>
            <a:ext uri="{FF2B5EF4-FFF2-40B4-BE49-F238E27FC236}">
              <a16:creationId xmlns:a16="http://schemas.microsoft.com/office/drawing/2014/main" id="{00000000-0008-0000-0D00-0000EE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266700</xdr:colOff>
      <xdr:row>21</xdr:row>
      <xdr:rowOff>0</xdr:rowOff>
    </xdr:from>
    <xdr:to>
      <xdr:col>17</xdr:col>
      <xdr:colOff>22412</xdr:colOff>
      <xdr:row>32</xdr:row>
      <xdr:rowOff>238125</xdr:rowOff>
    </xdr:to>
    <xdr:graphicFrame macro="">
      <xdr:nvGraphicFramePr>
        <xdr:cNvPr id="1775" name="Graphique 7">
          <a:extLst>
            <a:ext uri="{FF2B5EF4-FFF2-40B4-BE49-F238E27FC236}">
              <a16:creationId xmlns:a16="http://schemas.microsoft.com/office/drawing/2014/main" id="{00000000-0008-0000-0D00-0000EF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180975</xdr:colOff>
      <xdr:row>41</xdr:row>
      <xdr:rowOff>28575</xdr:rowOff>
    </xdr:from>
    <xdr:to>
      <xdr:col>17</xdr:col>
      <xdr:colOff>22412</xdr:colOff>
      <xdr:row>53</xdr:row>
      <xdr:rowOff>0</xdr:rowOff>
    </xdr:to>
    <xdr:graphicFrame macro="">
      <xdr:nvGraphicFramePr>
        <xdr:cNvPr id="1776" name="Graphique 8">
          <a:extLst>
            <a:ext uri="{FF2B5EF4-FFF2-40B4-BE49-F238E27FC236}">
              <a16:creationId xmlns:a16="http://schemas.microsoft.com/office/drawing/2014/main" id="{00000000-0008-0000-0D00-0000F0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266700</xdr:colOff>
      <xdr:row>60</xdr:row>
      <xdr:rowOff>238125</xdr:rowOff>
    </xdr:from>
    <xdr:to>
      <xdr:col>17</xdr:col>
      <xdr:colOff>11206</xdr:colOff>
      <xdr:row>73</xdr:row>
      <xdr:rowOff>0</xdr:rowOff>
    </xdr:to>
    <xdr:graphicFrame macro="">
      <xdr:nvGraphicFramePr>
        <xdr:cNvPr id="1777" name="Graphique 9">
          <a:extLst>
            <a:ext uri="{FF2B5EF4-FFF2-40B4-BE49-F238E27FC236}">
              <a16:creationId xmlns:a16="http://schemas.microsoft.com/office/drawing/2014/main" id="{00000000-0008-0000-0D00-0000F1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228600</xdr:colOff>
      <xdr:row>81</xdr:row>
      <xdr:rowOff>19050</xdr:rowOff>
    </xdr:from>
    <xdr:to>
      <xdr:col>16</xdr:col>
      <xdr:colOff>750795</xdr:colOff>
      <xdr:row>92</xdr:row>
      <xdr:rowOff>161925</xdr:rowOff>
    </xdr:to>
    <xdr:graphicFrame macro="">
      <xdr:nvGraphicFramePr>
        <xdr:cNvPr id="1778" name="Graphique 10">
          <a:extLst>
            <a:ext uri="{FF2B5EF4-FFF2-40B4-BE49-F238E27FC236}">
              <a16:creationId xmlns:a16="http://schemas.microsoft.com/office/drawing/2014/main" id="{00000000-0008-0000-0D00-0000F2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275104</xdr:colOff>
      <xdr:row>1</xdr:row>
      <xdr:rowOff>133350</xdr:rowOff>
    </xdr:from>
    <xdr:to>
      <xdr:col>13</xdr:col>
      <xdr:colOff>303679</xdr:colOff>
      <xdr:row>11</xdr:row>
      <xdr:rowOff>209551</xdr:rowOff>
    </xdr:to>
    <xdr:cxnSp macro="">
      <xdr:nvCxnSpPr>
        <xdr:cNvPr id="14" name="Connecteur droit 13">
          <a:extLst>
            <a:ext uri="{FF2B5EF4-FFF2-40B4-BE49-F238E27FC236}">
              <a16:creationId xmlns:a16="http://schemas.microsoft.com/office/drawing/2014/main" id="{00000000-0008-0000-0D00-00000E000000}"/>
            </a:ext>
          </a:extLst>
        </xdr:cNvPr>
        <xdr:cNvCxnSpPr/>
      </xdr:nvCxnSpPr>
      <xdr:spPr>
        <a:xfrm flipV="1">
          <a:off x="10707780" y="660026"/>
          <a:ext cx="28575" cy="2541496"/>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oneCellAnchor>
    <xdr:from>
      <xdr:col>11</xdr:col>
      <xdr:colOff>294154</xdr:colOff>
      <xdr:row>1</xdr:row>
      <xdr:rowOff>110938</xdr:rowOff>
    </xdr:from>
    <xdr:ext cx="1455848" cy="311496"/>
    <xdr:sp macro="" textlink="">
      <xdr:nvSpPr>
        <xdr:cNvPr id="16" name="ZoneTexte 15">
          <a:extLst>
            <a:ext uri="{FF2B5EF4-FFF2-40B4-BE49-F238E27FC236}">
              <a16:creationId xmlns:a16="http://schemas.microsoft.com/office/drawing/2014/main" id="{00000000-0008-0000-0D00-000010000000}"/>
            </a:ext>
          </a:extLst>
        </xdr:cNvPr>
        <xdr:cNvSpPr txBox="1"/>
      </xdr:nvSpPr>
      <xdr:spPr>
        <a:xfrm>
          <a:off x="9202830" y="637614"/>
          <a:ext cx="14558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METOX</a:t>
          </a:r>
          <a:r>
            <a:rPr lang="fr-FR" sz="1400" b="1" baseline="0">
              <a:solidFill>
                <a:srgbClr val="FF0000"/>
              </a:solidFill>
            </a:rPr>
            <a:t> SURFACE</a:t>
          </a:r>
          <a:endParaRPr lang="fr-FR" sz="1400" b="1">
            <a:solidFill>
              <a:srgbClr val="FF0000"/>
            </a:solidFill>
          </a:endParaRPr>
        </a:p>
      </xdr:txBody>
    </xdr:sp>
    <xdr:clientData/>
  </xdr:oneCellAnchor>
  <xdr:oneCellAnchor>
    <xdr:from>
      <xdr:col>16</xdr:col>
      <xdr:colOff>0</xdr:colOff>
      <xdr:row>23</xdr:row>
      <xdr:rowOff>219075</xdr:rowOff>
    </xdr:from>
    <xdr:ext cx="184731" cy="264560"/>
    <xdr:sp macro="" textlink="">
      <xdr:nvSpPr>
        <xdr:cNvPr id="19" name="ZoneTexte 18">
          <a:extLst>
            <a:ext uri="{FF2B5EF4-FFF2-40B4-BE49-F238E27FC236}">
              <a16:creationId xmlns:a16="http://schemas.microsoft.com/office/drawing/2014/main" id="{00000000-0008-0000-0D00-000013000000}"/>
            </a:ext>
          </a:extLst>
        </xdr:cNvPr>
        <xdr:cNvSpPr txBox="1"/>
      </xdr:nvSpPr>
      <xdr:spPr>
        <a:xfrm>
          <a:off x="18592800" y="601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10</xdr:col>
      <xdr:colOff>745191</xdr:colOff>
      <xdr:row>61</xdr:row>
      <xdr:rowOff>134471</xdr:rowOff>
    </xdr:from>
    <xdr:to>
      <xdr:col>11</xdr:col>
      <xdr:colOff>33618</xdr:colOff>
      <xdr:row>71</xdr:row>
      <xdr:rowOff>182097</xdr:rowOff>
    </xdr:to>
    <xdr:cxnSp macro="">
      <xdr:nvCxnSpPr>
        <xdr:cNvPr id="22" name="Connecteur droit 21">
          <a:extLst>
            <a:ext uri="{FF2B5EF4-FFF2-40B4-BE49-F238E27FC236}">
              <a16:creationId xmlns:a16="http://schemas.microsoft.com/office/drawing/2014/main" id="{00000000-0008-0000-0D00-000016000000}"/>
            </a:ext>
          </a:extLst>
        </xdr:cNvPr>
        <xdr:cNvCxnSpPr/>
      </xdr:nvCxnSpPr>
      <xdr:spPr>
        <a:xfrm flipV="1">
          <a:off x="8891867" y="14713324"/>
          <a:ext cx="50427" cy="251292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728942</xdr:colOff>
      <xdr:row>41</xdr:row>
      <xdr:rowOff>73959</xdr:rowOff>
    </xdr:from>
    <xdr:to>
      <xdr:col>10</xdr:col>
      <xdr:colOff>747992</xdr:colOff>
      <xdr:row>51</xdr:row>
      <xdr:rowOff>159684</xdr:rowOff>
    </xdr:to>
    <xdr:cxnSp macro="">
      <xdr:nvCxnSpPr>
        <xdr:cNvPr id="24" name="Connecteur droit 23">
          <a:extLst>
            <a:ext uri="{FF2B5EF4-FFF2-40B4-BE49-F238E27FC236}">
              <a16:creationId xmlns:a16="http://schemas.microsoft.com/office/drawing/2014/main" id="{00000000-0008-0000-0D00-000018000000}"/>
            </a:ext>
          </a:extLst>
        </xdr:cNvPr>
        <xdr:cNvCxnSpPr/>
      </xdr:nvCxnSpPr>
      <xdr:spPr>
        <a:xfrm flipV="1">
          <a:off x="8875618" y="9968753"/>
          <a:ext cx="19050" cy="2551019"/>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95250</xdr:colOff>
      <xdr:row>21</xdr:row>
      <xdr:rowOff>161926</xdr:rowOff>
    </xdr:from>
    <xdr:to>
      <xdr:col>11</xdr:col>
      <xdr:colOff>95250</xdr:colOff>
      <xdr:row>31</xdr:row>
      <xdr:rowOff>161925</xdr:rowOff>
    </xdr:to>
    <xdr:cxnSp macro="">
      <xdr:nvCxnSpPr>
        <xdr:cNvPr id="25" name="Connecteur droit 24">
          <a:extLst>
            <a:ext uri="{FF2B5EF4-FFF2-40B4-BE49-F238E27FC236}">
              <a16:creationId xmlns:a16="http://schemas.microsoft.com/office/drawing/2014/main" id="{00000000-0008-0000-0D00-000019000000}"/>
            </a:ext>
          </a:extLst>
        </xdr:cNvPr>
        <xdr:cNvCxnSpPr/>
      </xdr:nvCxnSpPr>
      <xdr:spPr>
        <a:xfrm flipV="1">
          <a:off x="8829675" y="3905251"/>
          <a:ext cx="0" cy="2476499"/>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123826</xdr:colOff>
      <xdr:row>81</xdr:row>
      <xdr:rowOff>133351</xdr:rowOff>
    </xdr:from>
    <xdr:to>
      <xdr:col>11</xdr:col>
      <xdr:colOff>142875</xdr:colOff>
      <xdr:row>91</xdr:row>
      <xdr:rowOff>85725</xdr:rowOff>
    </xdr:to>
    <xdr:cxnSp macro="">
      <xdr:nvCxnSpPr>
        <xdr:cNvPr id="29" name="Connecteur droit 28">
          <a:extLst>
            <a:ext uri="{FF2B5EF4-FFF2-40B4-BE49-F238E27FC236}">
              <a16:creationId xmlns:a16="http://schemas.microsoft.com/office/drawing/2014/main" id="{00000000-0008-0000-0D00-00001D000000}"/>
            </a:ext>
          </a:extLst>
        </xdr:cNvPr>
        <xdr:cNvCxnSpPr/>
      </xdr:nvCxnSpPr>
      <xdr:spPr>
        <a:xfrm flipH="1" flipV="1">
          <a:off x="9563101" y="13535026"/>
          <a:ext cx="19049" cy="2428874"/>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oneCellAnchor>
    <xdr:from>
      <xdr:col>8</xdr:col>
      <xdr:colOff>619125</xdr:colOff>
      <xdr:row>21</xdr:row>
      <xdr:rowOff>152400</xdr:rowOff>
    </xdr:from>
    <xdr:ext cx="1755865" cy="311496"/>
    <xdr:sp macro="" textlink="">
      <xdr:nvSpPr>
        <xdr:cNvPr id="32" name="ZoneTexte 31">
          <a:extLst>
            <a:ext uri="{FF2B5EF4-FFF2-40B4-BE49-F238E27FC236}">
              <a16:creationId xmlns:a16="http://schemas.microsoft.com/office/drawing/2014/main" id="{00000000-0008-0000-0D00-000020000000}"/>
            </a:ext>
          </a:extLst>
        </xdr:cNvPr>
        <xdr:cNvSpPr txBox="1"/>
      </xdr:nvSpPr>
      <xdr:spPr>
        <a:xfrm>
          <a:off x="7067550" y="3895725"/>
          <a:ext cx="175586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METOX</a:t>
          </a:r>
          <a:r>
            <a:rPr lang="fr-FR" sz="1400" b="1" baseline="0">
              <a:solidFill>
                <a:srgbClr val="FF0000"/>
              </a:solidFill>
            </a:rPr>
            <a:t> SOUTERRAIN</a:t>
          </a:r>
          <a:endParaRPr lang="fr-FR" sz="1400" b="1">
            <a:solidFill>
              <a:srgbClr val="FF0000"/>
            </a:solidFill>
          </a:endParaRPr>
        </a:p>
      </xdr:txBody>
    </xdr:sp>
    <xdr:clientData/>
  </xdr:oneCellAnchor>
  <xdr:oneCellAnchor>
    <xdr:from>
      <xdr:col>10</xdr:col>
      <xdr:colOff>47625</xdr:colOff>
      <xdr:row>41</xdr:row>
      <xdr:rowOff>171450</xdr:rowOff>
    </xdr:from>
    <xdr:ext cx="2727670" cy="311496"/>
    <xdr:sp macro="" textlink="">
      <xdr:nvSpPr>
        <xdr:cNvPr id="31" name="ZoneTexte 30">
          <a:extLst>
            <a:ext uri="{FF2B5EF4-FFF2-40B4-BE49-F238E27FC236}">
              <a16:creationId xmlns:a16="http://schemas.microsoft.com/office/drawing/2014/main" id="{00000000-0008-0000-0D00-00001F000000}"/>
            </a:ext>
          </a:extLst>
        </xdr:cNvPr>
        <xdr:cNvSpPr txBox="1"/>
      </xdr:nvSpPr>
      <xdr:spPr>
        <a:xfrm>
          <a:off x="8020050" y="7134225"/>
          <a:ext cx="272767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MATIERES INHIBITRICES SURFACE </a:t>
          </a:r>
        </a:p>
      </xdr:txBody>
    </xdr:sp>
    <xdr:clientData/>
  </xdr:oneCellAnchor>
  <xdr:oneCellAnchor>
    <xdr:from>
      <xdr:col>9</xdr:col>
      <xdr:colOff>514350</xdr:colOff>
      <xdr:row>61</xdr:row>
      <xdr:rowOff>152400</xdr:rowOff>
    </xdr:from>
    <xdr:ext cx="3027688" cy="311496"/>
    <xdr:sp macro="" textlink="">
      <xdr:nvSpPr>
        <xdr:cNvPr id="41" name="ZoneTexte 40">
          <a:extLst>
            <a:ext uri="{FF2B5EF4-FFF2-40B4-BE49-F238E27FC236}">
              <a16:creationId xmlns:a16="http://schemas.microsoft.com/office/drawing/2014/main" id="{00000000-0008-0000-0D00-000029000000}"/>
            </a:ext>
          </a:extLst>
        </xdr:cNvPr>
        <xdr:cNvSpPr txBox="1"/>
      </xdr:nvSpPr>
      <xdr:spPr>
        <a:xfrm>
          <a:off x="7724775" y="10334625"/>
          <a:ext cx="30276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MATIERES INHIBITRICES SOUTERRAIN </a:t>
          </a:r>
        </a:p>
      </xdr:txBody>
    </xdr:sp>
    <xdr:clientData/>
  </xdr:oneCellAnchor>
  <xdr:oneCellAnchor>
    <xdr:from>
      <xdr:col>9</xdr:col>
      <xdr:colOff>314325</xdr:colOff>
      <xdr:row>81</xdr:row>
      <xdr:rowOff>171450</xdr:rowOff>
    </xdr:from>
    <xdr:ext cx="1231299" cy="311496"/>
    <xdr:sp macro="" textlink="">
      <xdr:nvSpPr>
        <xdr:cNvPr id="33" name="ZoneTexte 32">
          <a:extLst>
            <a:ext uri="{FF2B5EF4-FFF2-40B4-BE49-F238E27FC236}">
              <a16:creationId xmlns:a16="http://schemas.microsoft.com/office/drawing/2014/main" id="{00000000-0008-0000-0D00-000021000000}"/>
            </a:ext>
          </a:extLst>
        </xdr:cNvPr>
        <xdr:cNvSpPr txBox="1"/>
      </xdr:nvSpPr>
      <xdr:spPr>
        <a:xfrm>
          <a:off x="7524750" y="13573125"/>
          <a:ext cx="1231299"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rgbClr val="FF0000"/>
              </a:solidFill>
            </a:rPr>
            <a:t>AOX SURFACE</a:t>
          </a:r>
        </a:p>
      </xdr:txBody>
    </xdr:sp>
    <xdr:clientData/>
  </xdr:oneCellAnchor>
  <xdr:twoCellAnchor>
    <xdr:from>
      <xdr:col>8</xdr:col>
      <xdr:colOff>257175</xdr:colOff>
      <xdr:row>121</xdr:row>
      <xdr:rowOff>66675</xdr:rowOff>
    </xdr:from>
    <xdr:to>
      <xdr:col>17</xdr:col>
      <xdr:colOff>22412</xdr:colOff>
      <xdr:row>132</xdr:row>
      <xdr:rowOff>228600</xdr:rowOff>
    </xdr:to>
    <xdr:graphicFrame macro="">
      <xdr:nvGraphicFramePr>
        <xdr:cNvPr id="1793" name="Graphique 10">
          <a:extLst>
            <a:ext uri="{FF2B5EF4-FFF2-40B4-BE49-F238E27FC236}">
              <a16:creationId xmlns:a16="http://schemas.microsoft.com/office/drawing/2014/main" id="{00000000-0008-0000-0D00-00000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626410</xdr:colOff>
      <xdr:row>121</xdr:row>
      <xdr:rowOff>145677</xdr:rowOff>
    </xdr:from>
    <xdr:to>
      <xdr:col>10</xdr:col>
      <xdr:colOff>649941</xdr:colOff>
      <xdr:row>131</xdr:row>
      <xdr:rowOff>110940</xdr:rowOff>
    </xdr:to>
    <xdr:cxnSp macro="">
      <xdr:nvCxnSpPr>
        <xdr:cNvPr id="43" name="Connecteur droit 42">
          <a:extLst>
            <a:ext uri="{FF2B5EF4-FFF2-40B4-BE49-F238E27FC236}">
              <a16:creationId xmlns:a16="http://schemas.microsoft.com/office/drawing/2014/main" id="{00000000-0008-0000-0D00-00002B000000}"/>
            </a:ext>
          </a:extLst>
        </xdr:cNvPr>
        <xdr:cNvCxnSpPr/>
      </xdr:nvCxnSpPr>
      <xdr:spPr>
        <a:xfrm flipV="1">
          <a:off x="8773086" y="28776706"/>
          <a:ext cx="23531" cy="2430558"/>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313765</xdr:colOff>
      <xdr:row>140</xdr:row>
      <xdr:rowOff>309283</xdr:rowOff>
    </xdr:from>
    <xdr:to>
      <xdr:col>16</xdr:col>
      <xdr:colOff>750794</xdr:colOff>
      <xdr:row>152</xdr:row>
      <xdr:rowOff>257735</xdr:rowOff>
    </xdr:to>
    <xdr:graphicFrame macro="">
      <xdr:nvGraphicFramePr>
        <xdr:cNvPr id="6" name="Graphique 5">
          <a:extLst>
            <a:ext uri="{FF2B5EF4-FFF2-40B4-BE49-F238E27FC236}">
              <a16:creationId xmlns:a16="http://schemas.microsoft.com/office/drawing/2014/main" id="{00000000-0008-0000-0D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358588</xdr:colOff>
      <xdr:row>161</xdr:row>
      <xdr:rowOff>11206</xdr:rowOff>
    </xdr:from>
    <xdr:to>
      <xdr:col>16</xdr:col>
      <xdr:colOff>761999</xdr:colOff>
      <xdr:row>173</xdr:row>
      <xdr:rowOff>44823</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44824</xdr:colOff>
      <xdr:row>1</xdr:row>
      <xdr:rowOff>130549</xdr:rowOff>
    </xdr:from>
    <xdr:to>
      <xdr:col>11</xdr:col>
      <xdr:colOff>73399</xdr:colOff>
      <xdr:row>11</xdr:row>
      <xdr:rowOff>206750</xdr:rowOff>
    </xdr:to>
    <xdr:cxnSp macro="">
      <xdr:nvCxnSpPr>
        <xdr:cNvPr id="26" name="Connecteur droit 25">
          <a:extLst>
            <a:ext uri="{FF2B5EF4-FFF2-40B4-BE49-F238E27FC236}">
              <a16:creationId xmlns:a16="http://schemas.microsoft.com/office/drawing/2014/main" id="{D3916670-39D2-4F6E-9D16-65957A9D3794}"/>
            </a:ext>
          </a:extLst>
        </xdr:cNvPr>
        <xdr:cNvCxnSpPr/>
      </xdr:nvCxnSpPr>
      <xdr:spPr>
        <a:xfrm flipV="1">
          <a:off x="8953500" y="657225"/>
          <a:ext cx="28575" cy="2541496"/>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337297</xdr:colOff>
      <xdr:row>41</xdr:row>
      <xdr:rowOff>73398</xdr:rowOff>
    </xdr:from>
    <xdr:to>
      <xdr:col>13</xdr:col>
      <xdr:colOff>356347</xdr:colOff>
      <xdr:row>51</xdr:row>
      <xdr:rowOff>159123</xdr:rowOff>
    </xdr:to>
    <xdr:cxnSp macro="">
      <xdr:nvCxnSpPr>
        <xdr:cNvPr id="28" name="Connecteur droit 27">
          <a:extLst>
            <a:ext uri="{FF2B5EF4-FFF2-40B4-BE49-F238E27FC236}">
              <a16:creationId xmlns:a16="http://schemas.microsoft.com/office/drawing/2014/main" id="{A8E2169D-7830-40A7-9382-3E8C047BA6AF}"/>
            </a:ext>
          </a:extLst>
        </xdr:cNvPr>
        <xdr:cNvCxnSpPr/>
      </xdr:nvCxnSpPr>
      <xdr:spPr>
        <a:xfrm flipV="1">
          <a:off x="10769973" y="9968192"/>
          <a:ext cx="19050" cy="2551019"/>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301999</xdr:colOff>
      <xdr:row>21</xdr:row>
      <xdr:rowOff>140075</xdr:rowOff>
    </xdr:from>
    <xdr:to>
      <xdr:col>13</xdr:col>
      <xdr:colOff>301999</xdr:colOff>
      <xdr:row>31</xdr:row>
      <xdr:rowOff>140074</xdr:rowOff>
    </xdr:to>
    <xdr:cxnSp macro="">
      <xdr:nvCxnSpPr>
        <xdr:cNvPr id="34" name="Connecteur droit 33">
          <a:extLst>
            <a:ext uri="{FF2B5EF4-FFF2-40B4-BE49-F238E27FC236}">
              <a16:creationId xmlns:a16="http://schemas.microsoft.com/office/drawing/2014/main" id="{8ACA0359-5B95-4A78-B674-59CCD5CE7560}"/>
            </a:ext>
          </a:extLst>
        </xdr:cNvPr>
        <xdr:cNvCxnSpPr/>
      </xdr:nvCxnSpPr>
      <xdr:spPr>
        <a:xfrm flipV="1">
          <a:off x="10734675" y="5350810"/>
          <a:ext cx="0" cy="2465293"/>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337297</xdr:colOff>
      <xdr:row>61</xdr:row>
      <xdr:rowOff>141194</xdr:rowOff>
    </xdr:from>
    <xdr:to>
      <xdr:col>13</xdr:col>
      <xdr:colOff>387724</xdr:colOff>
      <xdr:row>71</xdr:row>
      <xdr:rowOff>188820</xdr:rowOff>
    </xdr:to>
    <xdr:cxnSp macro="">
      <xdr:nvCxnSpPr>
        <xdr:cNvPr id="35" name="Connecteur droit 34">
          <a:extLst>
            <a:ext uri="{FF2B5EF4-FFF2-40B4-BE49-F238E27FC236}">
              <a16:creationId xmlns:a16="http://schemas.microsoft.com/office/drawing/2014/main" id="{E66B3CF0-7511-40B5-B3E1-AE2E08E11A0D}"/>
            </a:ext>
          </a:extLst>
        </xdr:cNvPr>
        <xdr:cNvCxnSpPr/>
      </xdr:nvCxnSpPr>
      <xdr:spPr>
        <a:xfrm flipV="1">
          <a:off x="10769973" y="14720047"/>
          <a:ext cx="50427" cy="2512920"/>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246530</xdr:colOff>
      <xdr:row>141</xdr:row>
      <xdr:rowOff>437029</xdr:rowOff>
    </xdr:from>
    <xdr:to>
      <xdr:col>13</xdr:col>
      <xdr:colOff>256055</xdr:colOff>
      <xdr:row>150</xdr:row>
      <xdr:rowOff>173692</xdr:rowOff>
    </xdr:to>
    <xdr:cxnSp macro="">
      <xdr:nvCxnSpPr>
        <xdr:cNvPr id="38" name="Connecteur droit 37">
          <a:extLst>
            <a:ext uri="{FF2B5EF4-FFF2-40B4-BE49-F238E27FC236}">
              <a16:creationId xmlns:a16="http://schemas.microsoft.com/office/drawing/2014/main" id="{820A254E-9628-46BB-9B9F-D97E69604599}"/>
            </a:ext>
          </a:extLst>
        </xdr:cNvPr>
        <xdr:cNvCxnSpPr/>
      </xdr:nvCxnSpPr>
      <xdr:spPr>
        <a:xfrm flipH="1" flipV="1">
          <a:off x="10679206" y="33819353"/>
          <a:ext cx="9525" cy="237004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645460</xdr:colOff>
      <xdr:row>162</xdr:row>
      <xdr:rowOff>264460</xdr:rowOff>
    </xdr:from>
    <xdr:to>
      <xdr:col>12</xdr:col>
      <xdr:colOff>654985</xdr:colOff>
      <xdr:row>171</xdr:row>
      <xdr:rowOff>101976</xdr:rowOff>
    </xdr:to>
    <xdr:cxnSp macro="">
      <xdr:nvCxnSpPr>
        <xdr:cNvPr id="39" name="Connecteur droit 38">
          <a:extLst>
            <a:ext uri="{FF2B5EF4-FFF2-40B4-BE49-F238E27FC236}">
              <a16:creationId xmlns:a16="http://schemas.microsoft.com/office/drawing/2014/main" id="{41175318-1A4C-4134-9AD3-823E1704F498}"/>
            </a:ext>
          </a:extLst>
        </xdr:cNvPr>
        <xdr:cNvCxnSpPr/>
      </xdr:nvCxnSpPr>
      <xdr:spPr>
        <a:xfrm flipH="1" flipV="1">
          <a:off x="10316136" y="39608313"/>
          <a:ext cx="9525" cy="2370045"/>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246530</xdr:colOff>
      <xdr:row>121</xdr:row>
      <xdr:rowOff>212912</xdr:rowOff>
    </xdr:from>
    <xdr:to>
      <xdr:col>13</xdr:col>
      <xdr:colOff>270061</xdr:colOff>
      <xdr:row>131</xdr:row>
      <xdr:rowOff>178175</xdr:rowOff>
    </xdr:to>
    <xdr:cxnSp macro="">
      <xdr:nvCxnSpPr>
        <xdr:cNvPr id="36" name="Connecteur droit 35">
          <a:extLst>
            <a:ext uri="{FF2B5EF4-FFF2-40B4-BE49-F238E27FC236}">
              <a16:creationId xmlns:a16="http://schemas.microsoft.com/office/drawing/2014/main" id="{BD313936-928B-417B-948B-F313575CDC4E}"/>
            </a:ext>
          </a:extLst>
        </xdr:cNvPr>
        <xdr:cNvCxnSpPr/>
      </xdr:nvCxnSpPr>
      <xdr:spPr>
        <a:xfrm flipV="1">
          <a:off x="10679206" y="28843941"/>
          <a:ext cx="23531" cy="2430558"/>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397808</xdr:colOff>
      <xdr:row>100</xdr:row>
      <xdr:rowOff>224118</xdr:rowOff>
    </xdr:from>
    <xdr:to>
      <xdr:col>17</xdr:col>
      <xdr:colOff>392206</xdr:colOff>
      <xdr:row>113</xdr:row>
      <xdr:rowOff>4482</xdr:rowOff>
    </xdr:to>
    <xdr:graphicFrame macro="">
      <xdr:nvGraphicFramePr>
        <xdr:cNvPr id="4" name="Graphique 3">
          <a:extLst>
            <a:ext uri="{FF2B5EF4-FFF2-40B4-BE49-F238E27FC236}">
              <a16:creationId xmlns:a16="http://schemas.microsoft.com/office/drawing/2014/main" id="{4D9754D2-A61A-48A4-A8CB-070A8FDB2A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459441</xdr:colOff>
      <xdr:row>101</xdr:row>
      <xdr:rowOff>89647</xdr:rowOff>
    </xdr:from>
    <xdr:to>
      <xdr:col>13</xdr:col>
      <xdr:colOff>468966</xdr:colOff>
      <xdr:row>111</xdr:row>
      <xdr:rowOff>242047</xdr:rowOff>
    </xdr:to>
    <xdr:cxnSp macro="">
      <xdr:nvCxnSpPr>
        <xdr:cNvPr id="40" name="Connecteur droit 39">
          <a:extLst>
            <a:ext uri="{FF2B5EF4-FFF2-40B4-BE49-F238E27FC236}">
              <a16:creationId xmlns:a16="http://schemas.microsoft.com/office/drawing/2014/main" id="{F679245B-33B3-4D5E-B0B1-B726F8646882}"/>
            </a:ext>
          </a:extLst>
        </xdr:cNvPr>
        <xdr:cNvCxnSpPr/>
      </xdr:nvCxnSpPr>
      <xdr:spPr>
        <a:xfrm flipV="1">
          <a:off x="10892117" y="25269265"/>
          <a:ext cx="9525" cy="2617694"/>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17930</xdr:colOff>
      <xdr:row>101</xdr:row>
      <xdr:rowOff>17929</xdr:rowOff>
    </xdr:from>
    <xdr:to>
      <xdr:col>11</xdr:col>
      <xdr:colOff>27455</xdr:colOff>
      <xdr:row>111</xdr:row>
      <xdr:rowOff>170329</xdr:rowOff>
    </xdr:to>
    <xdr:cxnSp macro="">
      <xdr:nvCxnSpPr>
        <xdr:cNvPr id="44" name="Connecteur droit 43">
          <a:extLst>
            <a:ext uri="{FF2B5EF4-FFF2-40B4-BE49-F238E27FC236}">
              <a16:creationId xmlns:a16="http://schemas.microsoft.com/office/drawing/2014/main" id="{E1A2A5BF-29FF-40E7-984C-9143995D187B}"/>
            </a:ext>
          </a:extLst>
        </xdr:cNvPr>
        <xdr:cNvCxnSpPr/>
      </xdr:nvCxnSpPr>
      <xdr:spPr>
        <a:xfrm flipV="1">
          <a:off x="8926606" y="25197547"/>
          <a:ext cx="9525" cy="2617694"/>
        </a:xfrm>
        <a:prstGeom prst="line">
          <a:avLst/>
        </a:prstGeom>
        <a:ln w="28575"/>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9.xml><?xml version="1.0" encoding="utf-8"?>
<c:userShapes xmlns:c="http://schemas.openxmlformats.org/drawingml/2006/chart">
  <cdr:relSizeAnchor xmlns:cdr="http://schemas.openxmlformats.org/drawingml/2006/chartDrawing">
    <cdr:from>
      <cdr:x>0.17634</cdr:x>
      <cdr:y>0.63744</cdr:y>
    </cdr:from>
    <cdr:to>
      <cdr:x>0.58929</cdr:x>
      <cdr:y>0.77587</cdr:y>
    </cdr:to>
    <cdr:sp macro="" textlink="">
      <cdr:nvSpPr>
        <cdr:cNvPr id="2" name="ZoneTexte 1">
          <a:extLst xmlns:a="http://schemas.openxmlformats.org/drawingml/2006/main">
            <a:ext uri="{FF2B5EF4-FFF2-40B4-BE49-F238E27FC236}">
              <a16:creationId xmlns:a16="http://schemas.microsoft.com/office/drawing/2014/main" id="{810BE5A9-F0CB-4AC5-9175-F3B656125025}"/>
            </a:ext>
          </a:extLst>
        </cdr:cNvPr>
        <cdr:cNvSpPr txBox="1"/>
      </cdr:nvSpPr>
      <cdr:spPr>
        <a:xfrm xmlns:a="http://schemas.openxmlformats.org/drawingml/2006/main">
          <a:off x="885265" y="2167216"/>
          <a:ext cx="2073088" cy="4706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AG et RMC sont confondues</a:t>
          </a:r>
        </a:p>
        <a:p xmlns:a="http://schemas.openxmlformats.org/drawingml/2006/main">
          <a:r>
            <a:rPr lang="fr-FR" sz="1100"/>
            <a:t>AP et RM sont confondues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490"/>
  <sheetViews>
    <sheetView showZeros="0" zoomScale="80" zoomScaleNormal="80" workbookViewId="0">
      <pane xSplit="3" ySplit="4" topLeftCell="D240" activePane="bottomRight" state="frozen"/>
      <selection pane="topRight" activeCell="D1" sqref="D1"/>
      <selection pane="bottomLeft" activeCell="A5" sqref="A5"/>
      <selection pane="bottomRight" activeCell="T299" sqref="T299"/>
    </sheetView>
  </sheetViews>
  <sheetFormatPr baseColWidth="10" defaultColWidth="11.44140625" defaultRowHeight="13.2" x14ac:dyDescent="0.25"/>
  <cols>
    <col min="1" max="1" width="5.44140625" style="3" customWidth="1"/>
    <col min="2" max="2" width="6.5546875" style="3" customWidth="1"/>
    <col min="3" max="3" width="8.44140625" style="94" customWidth="1"/>
    <col min="4" max="4" width="8" style="13" customWidth="1"/>
    <col min="5" max="5" width="10.33203125" style="13" customWidth="1"/>
    <col min="6" max="6" width="9.5546875" style="13" customWidth="1"/>
    <col min="7" max="7" width="10.5546875" style="13" customWidth="1"/>
    <col min="8" max="8" width="9.44140625" style="13" customWidth="1"/>
    <col min="9" max="9" width="12.109375" style="13" customWidth="1"/>
    <col min="10" max="10" width="8.44140625" style="13" customWidth="1"/>
    <col min="11" max="11" width="9.33203125" style="13" customWidth="1"/>
    <col min="12" max="12" width="10.33203125" style="13" customWidth="1"/>
    <col min="13" max="13" width="12" style="13" customWidth="1"/>
    <col min="14" max="15" width="12.5546875" style="13" customWidth="1"/>
    <col min="16" max="16" width="12.109375" style="13" customWidth="1"/>
    <col min="17" max="17" width="10.5546875" style="13" customWidth="1"/>
    <col min="18" max="18" width="10.33203125" style="13" customWidth="1"/>
    <col min="19" max="20" width="10.88671875" style="13" customWidth="1"/>
    <col min="21" max="21" width="15.33203125" style="13" customWidth="1"/>
    <col min="22" max="22" width="15.5546875" style="3" customWidth="1"/>
    <col min="23" max="16384" width="11.44140625" style="3"/>
  </cols>
  <sheetData>
    <row r="2" spans="1:22" s="1" customFormat="1" ht="24.9" customHeight="1" thickBot="1" x14ac:dyDescent="0.3">
      <c r="B2" s="1206" t="s">
        <v>167</v>
      </c>
      <c r="C2" s="1206"/>
      <c r="D2" s="1206"/>
      <c r="E2" s="2"/>
      <c r="F2" s="2"/>
      <c r="G2" s="2"/>
      <c r="H2" s="2"/>
      <c r="I2" s="2"/>
      <c r="J2" s="2"/>
      <c r="K2" s="2"/>
      <c r="L2" s="2"/>
      <c r="M2" s="2"/>
      <c r="N2" s="2"/>
      <c r="O2" s="2"/>
      <c r="P2" s="2"/>
      <c r="Q2" s="2"/>
      <c r="R2" s="2"/>
      <c r="S2" s="2"/>
      <c r="T2" s="2"/>
      <c r="U2" s="2"/>
    </row>
    <row r="3" spans="1:22" s="1" customFormat="1" ht="90" customHeight="1" x14ac:dyDescent="0.25">
      <c r="A3" s="36"/>
      <c r="B3" s="1194" t="s">
        <v>30</v>
      </c>
      <c r="C3" s="1195"/>
      <c r="D3" s="19" t="s">
        <v>0</v>
      </c>
      <c r="E3" s="19" t="s">
        <v>25</v>
      </c>
      <c r="F3" s="19" t="s">
        <v>1</v>
      </c>
      <c r="G3" s="19" t="s">
        <v>2</v>
      </c>
      <c r="H3" s="19" t="s">
        <v>13</v>
      </c>
      <c r="I3" s="19" t="s">
        <v>14</v>
      </c>
      <c r="J3" s="19" t="s">
        <v>10</v>
      </c>
      <c r="K3" s="19" t="s">
        <v>3</v>
      </c>
      <c r="L3" s="19" t="s">
        <v>4</v>
      </c>
      <c r="M3" s="19" t="s">
        <v>19</v>
      </c>
      <c r="N3" s="19" t="s">
        <v>20</v>
      </c>
      <c r="O3" s="19" t="s">
        <v>152</v>
      </c>
      <c r="P3" s="19" t="s">
        <v>5</v>
      </c>
      <c r="Q3" s="19" t="s">
        <v>6</v>
      </c>
      <c r="R3" s="19" t="s">
        <v>18</v>
      </c>
      <c r="S3" s="19" t="s">
        <v>7</v>
      </c>
      <c r="T3" s="20" t="s">
        <v>8</v>
      </c>
      <c r="U3" s="577" t="s">
        <v>199</v>
      </c>
      <c r="V3" s="577" t="s">
        <v>200</v>
      </c>
    </row>
    <row r="4" spans="1:22" s="1" customFormat="1" ht="24.9" customHeight="1" thickBot="1" x14ac:dyDescent="0.3">
      <c r="A4" s="37"/>
      <c r="B4" s="1196"/>
      <c r="C4" s="1197"/>
      <c r="D4" s="22" t="s">
        <v>9</v>
      </c>
      <c r="E4" s="22"/>
      <c r="F4" s="22" t="s">
        <v>9</v>
      </c>
      <c r="G4" s="22" t="s">
        <v>9</v>
      </c>
      <c r="H4" s="22" t="s">
        <v>9</v>
      </c>
      <c r="I4" s="22" t="s">
        <v>9</v>
      </c>
      <c r="J4" s="22" t="s">
        <v>9</v>
      </c>
      <c r="K4" s="22" t="s">
        <v>9</v>
      </c>
      <c r="L4" s="22" t="s">
        <v>9</v>
      </c>
      <c r="M4" s="22" t="s">
        <v>11</v>
      </c>
      <c r="N4" s="22" t="s">
        <v>11</v>
      </c>
      <c r="O4" s="22"/>
      <c r="P4" s="22" t="s">
        <v>9</v>
      </c>
      <c r="Q4" s="22" t="s">
        <v>9</v>
      </c>
      <c r="R4" s="22" t="s">
        <v>21</v>
      </c>
      <c r="S4" s="22" t="s">
        <v>12</v>
      </c>
      <c r="T4" s="23" t="s">
        <v>12</v>
      </c>
      <c r="U4" s="948" t="s">
        <v>9</v>
      </c>
      <c r="V4" s="23" t="s">
        <v>9</v>
      </c>
    </row>
    <row r="5" spans="1:22" s="1" customFormat="1" ht="24.9" customHeight="1" x14ac:dyDescent="0.25">
      <c r="A5" s="1192">
        <v>2008</v>
      </c>
      <c r="B5" s="1198" t="s">
        <v>23</v>
      </c>
      <c r="C5" s="14" t="s">
        <v>16</v>
      </c>
      <c r="D5" s="31">
        <v>0.11799999999999999</v>
      </c>
      <c r="E5" s="31"/>
      <c r="F5" s="31">
        <v>0.1</v>
      </c>
      <c r="G5" s="31">
        <v>0.2</v>
      </c>
      <c r="H5" s="31">
        <v>0.436</v>
      </c>
      <c r="I5" s="31">
        <v>6.9000000000000006E-2</v>
      </c>
      <c r="J5" s="31">
        <v>0.27200000000000002</v>
      </c>
      <c r="K5" s="31">
        <v>2.25</v>
      </c>
      <c r="L5" s="31">
        <v>5</v>
      </c>
      <c r="M5" s="31">
        <v>8.0500000000000007</v>
      </c>
      <c r="N5" s="31">
        <v>25</v>
      </c>
      <c r="O5" s="31"/>
      <c r="P5" s="31">
        <v>2.36</v>
      </c>
      <c r="Q5" s="31">
        <v>11.8</v>
      </c>
      <c r="R5" s="31">
        <v>0</v>
      </c>
      <c r="S5" s="31">
        <v>21.25</v>
      </c>
      <c r="T5" s="32">
        <v>1.6</v>
      </c>
      <c r="U5" s="554"/>
    </row>
    <row r="6" spans="1:22" s="8" customFormat="1" x14ac:dyDescent="0.25">
      <c r="A6" s="1192"/>
      <c r="B6" s="1200"/>
      <c r="C6" s="53" t="s">
        <v>17</v>
      </c>
      <c r="D6" s="9">
        <f>+D5*1.16</f>
        <v>0.13687999999999997</v>
      </c>
      <c r="E6" s="9"/>
      <c r="F6" s="9">
        <f t="shared" ref="F6:T6" si="0">+F5*1.16</f>
        <v>0.11599999999999999</v>
      </c>
      <c r="G6" s="9">
        <f t="shared" si="0"/>
        <v>0.23199999999999998</v>
      </c>
      <c r="H6" s="9">
        <f t="shared" si="0"/>
        <v>0.50575999999999999</v>
      </c>
      <c r="I6" s="9">
        <f t="shared" si="0"/>
        <v>8.004E-2</v>
      </c>
      <c r="J6" s="9">
        <f t="shared" si="0"/>
        <v>0.31552000000000002</v>
      </c>
      <c r="K6" s="9">
        <f t="shared" si="0"/>
        <v>2.61</v>
      </c>
      <c r="L6" s="9">
        <f t="shared" si="0"/>
        <v>5.8</v>
      </c>
      <c r="M6" s="9">
        <f t="shared" si="0"/>
        <v>9.338000000000001</v>
      </c>
      <c r="N6" s="9">
        <f t="shared" si="0"/>
        <v>28.999999999999996</v>
      </c>
      <c r="O6" s="9"/>
      <c r="P6" s="9">
        <f t="shared" si="0"/>
        <v>2.7375999999999996</v>
      </c>
      <c r="Q6" s="9">
        <f t="shared" si="0"/>
        <v>13.688000000000001</v>
      </c>
      <c r="R6" s="9">
        <f t="shared" si="0"/>
        <v>0</v>
      </c>
      <c r="S6" s="9">
        <f t="shared" si="0"/>
        <v>24.65</v>
      </c>
      <c r="T6" s="10">
        <f t="shared" si="0"/>
        <v>1.8559999999999999</v>
      </c>
    </row>
    <row r="7" spans="1:22" s="8" customFormat="1" ht="13.8" thickBot="1" x14ac:dyDescent="0.3">
      <c r="A7" s="1192"/>
      <c r="B7" s="1201"/>
      <c r="C7" s="51" t="s">
        <v>22</v>
      </c>
      <c r="D7" s="11">
        <f>+D5*1.33</f>
        <v>0.15694</v>
      </c>
      <c r="E7" s="11"/>
      <c r="F7" s="11">
        <f t="shared" ref="F7:T7" si="1">+F5*1.33</f>
        <v>0.13300000000000001</v>
      </c>
      <c r="G7" s="11">
        <f t="shared" si="1"/>
        <v>0.26600000000000001</v>
      </c>
      <c r="H7" s="11">
        <f t="shared" si="1"/>
        <v>0.57988000000000006</v>
      </c>
      <c r="I7" s="11">
        <f t="shared" si="1"/>
        <v>9.1770000000000018E-2</v>
      </c>
      <c r="J7" s="11">
        <f t="shared" si="1"/>
        <v>0.36176000000000003</v>
      </c>
      <c r="K7" s="11">
        <f t="shared" si="1"/>
        <v>2.9925000000000002</v>
      </c>
      <c r="L7" s="11">
        <f t="shared" si="1"/>
        <v>6.65</v>
      </c>
      <c r="M7" s="11">
        <f t="shared" si="1"/>
        <v>10.706500000000002</v>
      </c>
      <c r="N7" s="11">
        <f t="shared" si="1"/>
        <v>33.25</v>
      </c>
      <c r="O7" s="11"/>
      <c r="P7" s="11">
        <f t="shared" si="1"/>
        <v>3.1387999999999998</v>
      </c>
      <c r="Q7" s="11">
        <f t="shared" si="1"/>
        <v>15.694000000000003</v>
      </c>
      <c r="R7" s="11">
        <f t="shared" si="1"/>
        <v>0</v>
      </c>
      <c r="S7" s="11">
        <f t="shared" si="1"/>
        <v>28.262500000000003</v>
      </c>
      <c r="T7" s="12">
        <f t="shared" si="1"/>
        <v>2.1280000000000001</v>
      </c>
    </row>
    <row r="8" spans="1:22" s="1" customFormat="1" ht="24.9" customHeight="1" thickBot="1" x14ac:dyDescent="0.3">
      <c r="A8" s="1192"/>
      <c r="B8" s="17" t="s">
        <v>24</v>
      </c>
      <c r="C8" s="52"/>
      <c r="D8" s="40">
        <v>0.08</v>
      </c>
      <c r="E8" s="40"/>
      <c r="F8" s="40">
        <v>0.05</v>
      </c>
      <c r="G8" s="40">
        <v>0.1</v>
      </c>
      <c r="H8" s="40">
        <v>0.2</v>
      </c>
      <c r="I8" s="40"/>
      <c r="J8" s="40">
        <v>0.27</v>
      </c>
      <c r="K8" s="40">
        <v>0.47</v>
      </c>
      <c r="L8" s="40"/>
      <c r="M8" s="40">
        <v>4.5</v>
      </c>
      <c r="N8" s="40"/>
      <c r="O8" s="40"/>
      <c r="P8" s="40">
        <v>0.56999999999999995</v>
      </c>
      <c r="Q8" s="40"/>
      <c r="R8" s="40"/>
      <c r="S8" s="40">
        <v>8.5</v>
      </c>
      <c r="T8" s="41">
        <v>0.85</v>
      </c>
      <c r="U8" s="2"/>
    </row>
    <row r="9" spans="1:22" s="1" customFormat="1" ht="24.9" customHeight="1" thickBot="1" x14ac:dyDescent="0.3">
      <c r="A9" s="1192"/>
      <c r="B9" s="1198" t="s">
        <v>27</v>
      </c>
      <c r="C9" s="14" t="s">
        <v>16</v>
      </c>
      <c r="D9" s="42">
        <v>0.13800000000000001</v>
      </c>
      <c r="E9" s="42">
        <v>0.1</v>
      </c>
      <c r="F9" s="42">
        <v>9.1999999999999998E-2</v>
      </c>
      <c r="G9" s="42">
        <v>0.184</v>
      </c>
      <c r="H9" s="42">
        <v>0.32300000000000001</v>
      </c>
      <c r="I9" s="42"/>
      <c r="J9" s="42">
        <v>0.92400000000000004</v>
      </c>
      <c r="K9" s="42">
        <v>1.3859999999999999</v>
      </c>
      <c r="L9" s="42">
        <v>5</v>
      </c>
      <c r="M9" s="42">
        <v>15</v>
      </c>
      <c r="N9" s="42">
        <v>25</v>
      </c>
      <c r="O9" s="42"/>
      <c r="P9" s="42"/>
      <c r="Q9" s="42"/>
      <c r="R9" s="42"/>
      <c r="S9" s="42">
        <v>55.43</v>
      </c>
      <c r="T9" s="43">
        <v>8.5</v>
      </c>
      <c r="U9" s="2"/>
    </row>
    <row r="10" spans="1:22" ht="15" customHeight="1" thickBot="1" x14ac:dyDescent="0.3">
      <c r="A10" s="1192"/>
      <c r="B10" s="1201"/>
      <c r="C10" s="51" t="s">
        <v>17</v>
      </c>
      <c r="D10" s="11">
        <f>+D9*1.3</f>
        <v>0.17940000000000003</v>
      </c>
      <c r="E10" s="5">
        <v>0.1</v>
      </c>
      <c r="F10" s="11">
        <f>+F9*1.3</f>
        <v>0.1196</v>
      </c>
      <c r="G10" s="11">
        <f>+G9*1.3</f>
        <v>0.2392</v>
      </c>
      <c r="H10" s="11">
        <f>+H9*1.3</f>
        <v>0.41990000000000005</v>
      </c>
      <c r="I10" s="11">
        <f>+I9*1.3</f>
        <v>0</v>
      </c>
      <c r="J10" s="11">
        <f>+J9*1.3</f>
        <v>1.2012</v>
      </c>
      <c r="K10" s="27">
        <v>1.3859999999999999</v>
      </c>
      <c r="L10" s="5">
        <v>5</v>
      </c>
      <c r="M10" s="5">
        <v>15</v>
      </c>
      <c r="N10" s="5">
        <v>25</v>
      </c>
      <c r="O10" s="5"/>
      <c r="P10" s="5"/>
      <c r="Q10" s="5"/>
      <c r="R10" s="5"/>
      <c r="S10" s="5">
        <v>55.43</v>
      </c>
      <c r="T10" s="6">
        <v>8.5</v>
      </c>
    </row>
    <row r="11" spans="1:22" s="1" customFormat="1" ht="24.9" customHeight="1" thickBot="1" x14ac:dyDescent="0.3">
      <c r="A11" s="1192"/>
      <c r="B11" s="17" t="s">
        <v>26</v>
      </c>
      <c r="C11" s="52"/>
      <c r="D11" s="44">
        <v>0.15</v>
      </c>
      <c r="E11" s="44">
        <v>0.05</v>
      </c>
      <c r="F11" s="44">
        <v>0.1</v>
      </c>
      <c r="G11" s="44">
        <v>0.2</v>
      </c>
      <c r="H11" s="44">
        <v>0.35</v>
      </c>
      <c r="I11" s="44"/>
      <c r="J11" s="44">
        <v>1</v>
      </c>
      <c r="K11" s="44">
        <v>2</v>
      </c>
      <c r="L11" s="44">
        <v>3.34</v>
      </c>
      <c r="M11" s="44">
        <v>8.5</v>
      </c>
      <c r="N11" s="44">
        <v>14.17</v>
      </c>
      <c r="O11" s="44"/>
      <c r="P11" s="44">
        <v>5</v>
      </c>
      <c r="Q11" s="44">
        <v>7.69</v>
      </c>
      <c r="R11" s="44">
        <v>0.1</v>
      </c>
      <c r="S11" s="44">
        <v>42.5</v>
      </c>
      <c r="T11" s="45">
        <v>4.25</v>
      </c>
      <c r="U11" s="2"/>
    </row>
    <row r="12" spans="1:22" s="1" customFormat="1" ht="24.9" customHeight="1" x14ac:dyDescent="0.25">
      <c r="A12" s="1192"/>
      <c r="B12" s="1198" t="s">
        <v>28</v>
      </c>
      <c r="C12" s="14" t="s">
        <v>16</v>
      </c>
      <c r="D12" s="46">
        <v>0.10100000000000001</v>
      </c>
      <c r="E12" s="46"/>
      <c r="F12" s="46">
        <v>6.7000000000000004E-2</v>
      </c>
      <c r="G12" s="46">
        <v>0.13500000000000001</v>
      </c>
      <c r="H12" s="46">
        <v>0.23400000000000001</v>
      </c>
      <c r="I12" s="46">
        <v>0.10100000000000001</v>
      </c>
      <c r="J12" s="46">
        <v>0.84199999999999997</v>
      </c>
      <c r="K12" s="46">
        <v>1.61</v>
      </c>
      <c r="L12" s="46">
        <v>5</v>
      </c>
      <c r="M12" s="46">
        <v>8.0500000000000007</v>
      </c>
      <c r="N12" s="46">
        <v>25</v>
      </c>
      <c r="O12" s="46"/>
      <c r="P12" s="46">
        <v>6.9770000000000003</v>
      </c>
      <c r="Q12" s="46">
        <v>20</v>
      </c>
      <c r="R12" s="46">
        <v>7.6999999999999999E-2</v>
      </c>
      <c r="S12" s="46">
        <v>42.5</v>
      </c>
      <c r="T12" s="47"/>
      <c r="U12" s="2"/>
    </row>
    <row r="13" spans="1:22" s="7" customFormat="1" ht="12.75" customHeight="1" x14ac:dyDescent="0.25">
      <c r="A13" s="1192"/>
      <c r="B13" s="1200"/>
      <c r="C13" s="53" t="s">
        <v>17</v>
      </c>
      <c r="D13" s="9">
        <f>+D12*1.3</f>
        <v>0.1313</v>
      </c>
      <c r="E13" s="9">
        <f>+E12*1.3</f>
        <v>0</v>
      </c>
      <c r="F13" s="9">
        <f>+F12*1.3</f>
        <v>8.7100000000000011E-2</v>
      </c>
      <c r="G13" s="9">
        <v>0.17499999999999999</v>
      </c>
      <c r="H13" s="9">
        <v>0.30499999999999999</v>
      </c>
      <c r="I13" s="9">
        <f>+I12*1.3</f>
        <v>0.1313</v>
      </c>
      <c r="J13" s="9">
        <f>+J12*1.3</f>
        <v>1.0946</v>
      </c>
      <c r="K13" s="4">
        <f>+K12</f>
        <v>1.61</v>
      </c>
      <c r="L13" s="4">
        <v>5</v>
      </c>
      <c r="M13" s="4">
        <v>8.0500000000000007</v>
      </c>
      <c r="N13" s="4">
        <v>25</v>
      </c>
      <c r="O13" s="4"/>
      <c r="P13" s="4">
        <v>6.9770000000000003</v>
      </c>
      <c r="Q13" s="4">
        <v>20</v>
      </c>
      <c r="R13" s="9">
        <f>+R12*1.3</f>
        <v>0.10010000000000001</v>
      </c>
      <c r="S13" s="4">
        <v>42.5</v>
      </c>
      <c r="T13" s="10"/>
      <c r="U13" s="8"/>
    </row>
    <row r="14" spans="1:22" ht="12.75" customHeight="1" thickBot="1" x14ac:dyDescent="0.3">
      <c r="A14" s="1192"/>
      <c r="B14" s="1201"/>
      <c r="C14" s="51" t="s">
        <v>22</v>
      </c>
      <c r="D14" s="11">
        <v>0.161</v>
      </c>
      <c r="E14" s="11">
        <f>+E12*1.6</f>
        <v>0</v>
      </c>
      <c r="F14" s="11">
        <f>+F12*1.6</f>
        <v>0.10720000000000002</v>
      </c>
      <c r="G14" s="11">
        <f>+G12*1.6</f>
        <v>0.21600000000000003</v>
      </c>
      <c r="H14" s="11">
        <v>0.375</v>
      </c>
      <c r="I14" s="11">
        <v>0.161</v>
      </c>
      <c r="J14" s="11">
        <f>+J12*1.6</f>
        <v>1.3472</v>
      </c>
      <c r="K14" s="5">
        <v>1.61</v>
      </c>
      <c r="L14" s="5">
        <v>5</v>
      </c>
      <c r="M14" s="5">
        <v>8.0500000000000007</v>
      </c>
      <c r="N14" s="5">
        <v>25</v>
      </c>
      <c r="O14" s="5"/>
      <c r="P14" s="5">
        <v>6.9770000000000003</v>
      </c>
      <c r="Q14" s="5">
        <v>20</v>
      </c>
      <c r="R14" s="11">
        <f>+R12*1.6</f>
        <v>0.1232</v>
      </c>
      <c r="S14" s="5">
        <v>42.5</v>
      </c>
      <c r="T14" s="6"/>
    </row>
    <row r="15" spans="1:22" s="1" customFormat="1" ht="24.9" customHeight="1" x14ac:dyDescent="0.25">
      <c r="A15" s="1192"/>
      <c r="B15" s="1188" t="s">
        <v>29</v>
      </c>
      <c r="C15" s="15" t="s">
        <v>16</v>
      </c>
      <c r="D15" s="48">
        <v>0.15</v>
      </c>
      <c r="E15" s="48">
        <v>3.0000000000000001E-3</v>
      </c>
      <c r="F15" s="48">
        <v>0.12</v>
      </c>
      <c r="G15" s="48">
        <v>0.22</v>
      </c>
      <c r="H15" s="48">
        <v>0.35</v>
      </c>
      <c r="I15" s="48">
        <v>0.2</v>
      </c>
      <c r="J15" s="48">
        <v>1</v>
      </c>
      <c r="K15" s="49">
        <v>2.2000000000000002</v>
      </c>
      <c r="L15" s="48">
        <v>3.7</v>
      </c>
      <c r="M15" s="48">
        <v>12</v>
      </c>
      <c r="N15" s="48">
        <v>20</v>
      </c>
      <c r="O15" s="48"/>
      <c r="P15" s="48">
        <v>9</v>
      </c>
      <c r="Q15" s="48">
        <v>13.8</v>
      </c>
      <c r="R15" s="48">
        <v>0.1</v>
      </c>
      <c r="S15" s="48">
        <v>20</v>
      </c>
      <c r="T15" s="50">
        <v>2</v>
      </c>
      <c r="U15" s="2"/>
    </row>
    <row r="16" spans="1:22" ht="11.25" customHeight="1" thickBot="1" x14ac:dyDescent="0.3">
      <c r="A16" s="1193"/>
      <c r="B16" s="1189"/>
      <c r="C16" s="51" t="s">
        <v>17</v>
      </c>
      <c r="D16" s="5">
        <v>0.15</v>
      </c>
      <c r="E16" s="5">
        <v>3.0000000000000001E-3</v>
      </c>
      <c r="F16" s="5">
        <v>0.15</v>
      </c>
      <c r="G16" s="5">
        <v>0.27500000000000002</v>
      </c>
      <c r="H16" s="5">
        <v>0.44</v>
      </c>
      <c r="I16" s="5">
        <v>0.2</v>
      </c>
      <c r="J16" s="5">
        <v>1.25</v>
      </c>
      <c r="K16" s="16">
        <v>2.2000000000000002</v>
      </c>
      <c r="L16" s="5">
        <v>3.7</v>
      </c>
      <c r="M16" s="5">
        <v>12</v>
      </c>
      <c r="N16" s="5">
        <v>20</v>
      </c>
      <c r="O16" s="5"/>
      <c r="P16" s="5">
        <v>9</v>
      </c>
      <c r="Q16" s="5">
        <v>13.8</v>
      </c>
      <c r="R16" s="5">
        <v>0.1</v>
      </c>
      <c r="S16" s="5">
        <v>20</v>
      </c>
      <c r="T16" s="6">
        <v>2</v>
      </c>
    </row>
    <row r="17" spans="1:23" ht="24.9" customHeight="1" thickBot="1" x14ac:dyDescent="0.3"/>
    <row r="18" spans="1:23" s="1" customFormat="1" ht="40.5" customHeight="1" x14ac:dyDescent="0.25">
      <c r="A18" s="36"/>
      <c r="B18" s="1194" t="s">
        <v>30</v>
      </c>
      <c r="C18" s="1195"/>
      <c r="D18" s="19" t="s">
        <v>0</v>
      </c>
      <c r="E18" s="19" t="s">
        <v>25</v>
      </c>
      <c r="F18" s="19" t="s">
        <v>1</v>
      </c>
      <c r="G18" s="19" t="s">
        <v>2</v>
      </c>
      <c r="H18" s="19" t="s">
        <v>13</v>
      </c>
      <c r="I18" s="19" t="s">
        <v>14</v>
      </c>
      <c r="J18" s="19" t="s">
        <v>10</v>
      </c>
      <c r="K18" s="19" t="s">
        <v>3</v>
      </c>
      <c r="L18" s="19" t="s">
        <v>4</v>
      </c>
      <c r="M18" s="19" t="s">
        <v>19</v>
      </c>
      <c r="N18" s="19" t="s">
        <v>20</v>
      </c>
      <c r="O18" s="19"/>
      <c r="P18" s="19" t="s">
        <v>5</v>
      </c>
      <c r="Q18" s="19" t="s">
        <v>6</v>
      </c>
      <c r="R18" s="19" t="s">
        <v>18</v>
      </c>
      <c r="S18" s="19" t="s">
        <v>7</v>
      </c>
      <c r="T18" s="20" t="s">
        <v>8</v>
      </c>
      <c r="U18" s="456"/>
    </row>
    <row r="19" spans="1:23" s="1" customFormat="1" ht="24.9" customHeight="1" thickBot="1" x14ac:dyDescent="0.3">
      <c r="A19" s="37"/>
      <c r="B19" s="1196"/>
      <c r="C19" s="1197"/>
      <c r="D19" s="22" t="s">
        <v>9</v>
      </c>
      <c r="E19" s="22"/>
      <c r="F19" s="22" t="s">
        <v>9</v>
      </c>
      <c r="G19" s="22" t="s">
        <v>9</v>
      </c>
      <c r="H19" s="22" t="s">
        <v>9</v>
      </c>
      <c r="I19" s="22" t="s">
        <v>9</v>
      </c>
      <c r="J19" s="22" t="s">
        <v>9</v>
      </c>
      <c r="K19" s="22" t="s">
        <v>9</v>
      </c>
      <c r="L19" s="22" t="s">
        <v>9</v>
      </c>
      <c r="M19" s="22" t="s">
        <v>11</v>
      </c>
      <c r="N19" s="22" t="s">
        <v>11</v>
      </c>
      <c r="O19" s="22"/>
      <c r="P19" s="22" t="s">
        <v>9</v>
      </c>
      <c r="Q19" s="22" t="s">
        <v>9</v>
      </c>
      <c r="R19" s="22" t="s">
        <v>21</v>
      </c>
      <c r="S19" s="22" t="s">
        <v>12</v>
      </c>
      <c r="T19" s="23" t="s">
        <v>12</v>
      </c>
      <c r="U19" s="456"/>
    </row>
    <row r="20" spans="1:23" s="1" customFormat="1" ht="24.9" customHeight="1" x14ac:dyDescent="0.25">
      <c r="A20" s="1192">
        <v>2009</v>
      </c>
      <c r="B20" s="1198" t="s">
        <v>23</v>
      </c>
      <c r="C20" s="1202" t="s">
        <v>16</v>
      </c>
      <c r="D20" s="31">
        <v>0.11799999999999999</v>
      </c>
      <c r="E20" s="31"/>
      <c r="F20" s="31">
        <v>0.1</v>
      </c>
      <c r="G20" s="31">
        <v>0.2</v>
      </c>
      <c r="H20" s="31">
        <v>0.50600000000000001</v>
      </c>
      <c r="I20" s="33">
        <v>8.2799999999999999E-2</v>
      </c>
      <c r="J20" s="31">
        <v>0.31900000000000001</v>
      </c>
      <c r="K20" s="31">
        <v>2.25</v>
      </c>
      <c r="L20" s="31">
        <v>5</v>
      </c>
      <c r="M20" s="31">
        <v>8.94</v>
      </c>
      <c r="N20" s="31">
        <v>25</v>
      </c>
      <c r="O20" s="31"/>
      <c r="P20" s="31">
        <v>2.36</v>
      </c>
      <c r="Q20" s="31">
        <v>11.8</v>
      </c>
      <c r="R20" s="31">
        <v>0</v>
      </c>
      <c r="S20" s="31">
        <v>25.5</v>
      </c>
      <c r="T20" s="32">
        <v>1.9</v>
      </c>
      <c r="U20" s="554"/>
    </row>
    <row r="21" spans="1:23" s="1" customFormat="1" ht="16.5" customHeight="1" x14ac:dyDescent="0.25">
      <c r="A21" s="1192"/>
      <c r="B21" s="1199"/>
      <c r="C21" s="1203"/>
      <c r="D21" s="24">
        <f>+(D20-D$5)/D$5</f>
        <v>0</v>
      </c>
      <c r="E21" s="24"/>
      <c r="F21" s="24">
        <f t="shared" ref="F21:T21" si="2">+(F20-F$5)/F$5</f>
        <v>0</v>
      </c>
      <c r="G21" s="24">
        <f t="shared" si="2"/>
        <v>0</v>
      </c>
      <c r="H21" s="24">
        <f t="shared" si="2"/>
        <v>0.16055045871559634</v>
      </c>
      <c r="I21" s="24">
        <f t="shared" si="2"/>
        <v>0.19999999999999987</v>
      </c>
      <c r="J21" s="24">
        <f t="shared" si="2"/>
        <v>0.17279411764705876</v>
      </c>
      <c r="K21" s="24">
        <f t="shared" si="2"/>
        <v>0</v>
      </c>
      <c r="L21" s="24">
        <f t="shared" si="2"/>
        <v>0</v>
      </c>
      <c r="M21" s="24">
        <f t="shared" si="2"/>
        <v>0.11055900621117996</v>
      </c>
      <c r="N21" s="24">
        <f t="shared" si="2"/>
        <v>0</v>
      </c>
      <c r="O21" s="24"/>
      <c r="P21" s="24">
        <f t="shared" si="2"/>
        <v>0</v>
      </c>
      <c r="Q21" s="24">
        <f t="shared" si="2"/>
        <v>0</v>
      </c>
      <c r="R21" s="24"/>
      <c r="S21" s="24">
        <f t="shared" si="2"/>
        <v>0.2</v>
      </c>
      <c r="T21" s="24">
        <f t="shared" si="2"/>
        <v>0.18749999999999989</v>
      </c>
      <c r="U21" s="555"/>
      <c r="V21" s="1" t="s">
        <v>169</v>
      </c>
    </row>
    <row r="22" spans="1:23" s="8" customFormat="1" x14ac:dyDescent="0.25">
      <c r="A22" s="1192"/>
      <c r="B22" s="1200"/>
      <c r="C22" s="53" t="s">
        <v>17</v>
      </c>
      <c r="D22" s="9">
        <f>+D20*1.16</f>
        <v>0.13687999999999997</v>
      </c>
      <c r="E22" s="9"/>
      <c r="F22" s="9">
        <f t="shared" ref="F22:T22" si="3">+F20*1.16</f>
        <v>0.11599999999999999</v>
      </c>
      <c r="G22" s="9">
        <f t="shared" si="3"/>
        <v>0.23199999999999998</v>
      </c>
      <c r="H22" s="9">
        <f t="shared" si="3"/>
        <v>0.58695999999999993</v>
      </c>
      <c r="I22" s="9">
        <f t="shared" si="3"/>
        <v>9.6047999999999994E-2</v>
      </c>
      <c r="J22" s="9">
        <f t="shared" si="3"/>
        <v>0.37003999999999998</v>
      </c>
      <c r="K22" s="9">
        <f t="shared" si="3"/>
        <v>2.61</v>
      </c>
      <c r="L22" s="9">
        <f t="shared" si="3"/>
        <v>5.8</v>
      </c>
      <c r="M22" s="9">
        <f t="shared" si="3"/>
        <v>10.370399999999998</v>
      </c>
      <c r="N22" s="9">
        <f t="shared" si="3"/>
        <v>28.999999999999996</v>
      </c>
      <c r="O22" s="9"/>
      <c r="P22" s="9">
        <f t="shared" si="3"/>
        <v>2.7375999999999996</v>
      </c>
      <c r="Q22" s="9">
        <f t="shared" si="3"/>
        <v>13.688000000000001</v>
      </c>
      <c r="R22" s="9">
        <f t="shared" si="3"/>
        <v>0</v>
      </c>
      <c r="S22" s="9">
        <f t="shared" si="3"/>
        <v>29.58</v>
      </c>
      <c r="T22" s="10">
        <f t="shared" si="3"/>
        <v>2.2039999999999997</v>
      </c>
    </row>
    <row r="23" spans="1:23" s="8" customFormat="1" ht="13.8" thickBot="1" x14ac:dyDescent="0.3">
      <c r="A23" s="1192"/>
      <c r="B23" s="1201"/>
      <c r="C23" s="51" t="s">
        <v>22</v>
      </c>
      <c r="D23" s="11">
        <f>+D20*1.33</f>
        <v>0.15694</v>
      </c>
      <c r="E23" s="11"/>
      <c r="F23" s="11">
        <f t="shared" ref="F23:T23" si="4">+F20*1.33</f>
        <v>0.13300000000000001</v>
      </c>
      <c r="G23" s="11">
        <f t="shared" si="4"/>
        <v>0.26600000000000001</v>
      </c>
      <c r="H23" s="11">
        <f t="shared" si="4"/>
        <v>0.67298000000000002</v>
      </c>
      <c r="I23" s="11">
        <f t="shared" si="4"/>
        <v>0.110124</v>
      </c>
      <c r="J23" s="11">
        <f t="shared" si="4"/>
        <v>0.42427000000000004</v>
      </c>
      <c r="K23" s="11">
        <f t="shared" si="4"/>
        <v>2.9925000000000002</v>
      </c>
      <c r="L23" s="11">
        <f t="shared" si="4"/>
        <v>6.65</v>
      </c>
      <c r="M23" s="11">
        <f t="shared" si="4"/>
        <v>11.8902</v>
      </c>
      <c r="N23" s="11">
        <f t="shared" si="4"/>
        <v>33.25</v>
      </c>
      <c r="O23" s="11"/>
      <c r="P23" s="11">
        <f t="shared" si="4"/>
        <v>3.1387999999999998</v>
      </c>
      <c r="Q23" s="11">
        <f t="shared" si="4"/>
        <v>15.694000000000003</v>
      </c>
      <c r="R23" s="11">
        <f t="shared" si="4"/>
        <v>0</v>
      </c>
      <c r="S23" s="11">
        <f t="shared" si="4"/>
        <v>33.914999999999999</v>
      </c>
      <c r="T23" s="12">
        <f t="shared" si="4"/>
        <v>2.5270000000000001</v>
      </c>
    </row>
    <row r="24" spans="1:23" ht="24.9" customHeight="1" thickBot="1" x14ac:dyDescent="0.3">
      <c r="A24" s="1192"/>
      <c r="B24" s="1188" t="s">
        <v>24</v>
      </c>
      <c r="C24" s="52"/>
      <c r="D24" s="40">
        <v>8.2000000000000003E-2</v>
      </c>
      <c r="E24" s="40"/>
      <c r="F24" s="40">
        <v>5.1999999999999998E-2</v>
      </c>
      <c r="G24" s="40">
        <v>0.10299999999999999</v>
      </c>
      <c r="H24" s="40">
        <v>0.20599999999999999</v>
      </c>
      <c r="I24" s="40"/>
      <c r="J24" s="40">
        <v>0.27800000000000002</v>
      </c>
      <c r="K24" s="40">
        <v>0.48399999999999999</v>
      </c>
      <c r="L24" s="40"/>
      <c r="M24" s="40">
        <v>4.6349999999999998</v>
      </c>
      <c r="N24" s="40"/>
      <c r="O24" s="40"/>
      <c r="P24" s="40">
        <v>0.58699999999999997</v>
      </c>
      <c r="Q24" s="40"/>
      <c r="R24" s="40"/>
      <c r="S24" s="40">
        <v>8.7550000000000008</v>
      </c>
      <c r="T24" s="41">
        <v>0.876</v>
      </c>
      <c r="U24" s="2"/>
    </row>
    <row r="25" spans="1:23" ht="24.9" customHeight="1" thickBot="1" x14ac:dyDescent="0.3">
      <c r="A25" s="1192"/>
      <c r="B25" s="1189"/>
      <c r="C25" s="52"/>
      <c r="D25" s="25">
        <f>+(D24-D$8)/D$8</f>
        <v>2.5000000000000022E-2</v>
      </c>
      <c r="E25" s="25"/>
      <c r="F25" s="25">
        <f t="shared" ref="F25:S25" si="5">+(F24-F$8)/F$8</f>
        <v>3.9999999999999897E-2</v>
      </c>
      <c r="G25" s="25">
        <f t="shared" si="5"/>
        <v>2.9999999999999888E-2</v>
      </c>
      <c r="H25" s="25">
        <f t="shared" si="5"/>
        <v>2.9999999999999888E-2</v>
      </c>
      <c r="I25" s="25"/>
      <c r="J25" s="25">
        <f t="shared" si="5"/>
        <v>2.9629629629629655E-2</v>
      </c>
      <c r="K25" s="25">
        <f t="shared" si="5"/>
        <v>2.9787234042553221E-2</v>
      </c>
      <c r="L25" s="25"/>
      <c r="M25" s="25">
        <f t="shared" si="5"/>
        <v>2.9999999999999954E-2</v>
      </c>
      <c r="N25" s="25"/>
      <c r="O25" s="25"/>
      <c r="P25" s="25">
        <f t="shared" si="5"/>
        <v>2.9824561403508802E-2</v>
      </c>
      <c r="Q25" s="25"/>
      <c r="R25" s="25"/>
      <c r="S25" s="25">
        <f t="shared" si="5"/>
        <v>3.0000000000000093E-2</v>
      </c>
      <c r="T25" s="25">
        <f>+(T24-T8)/T8</f>
        <v>3.0588235294117676E-2</v>
      </c>
      <c r="U25" s="555"/>
      <c r="V25" s="1" t="s">
        <v>169</v>
      </c>
    </row>
    <row r="26" spans="1:23" ht="24.9" customHeight="1" x14ac:dyDescent="0.25">
      <c r="A26" s="1192"/>
      <c r="B26" s="1198" t="s">
        <v>27</v>
      </c>
      <c r="C26" s="14" t="s">
        <v>16</v>
      </c>
      <c r="D26" s="42">
        <v>0.14099999999999999</v>
      </c>
      <c r="E26" s="42">
        <v>0.1</v>
      </c>
      <c r="F26" s="42">
        <v>9.4E-2</v>
      </c>
      <c r="G26" s="42">
        <v>0.188</v>
      </c>
      <c r="H26" s="42">
        <v>0.32900000000000001</v>
      </c>
      <c r="I26" s="42"/>
      <c r="J26" s="42">
        <v>0.94199999999999995</v>
      </c>
      <c r="K26" s="42">
        <v>1.4139999999999999</v>
      </c>
      <c r="L26" s="42">
        <v>5</v>
      </c>
      <c r="M26" s="42">
        <v>15</v>
      </c>
      <c r="N26" s="42">
        <v>25</v>
      </c>
      <c r="O26" s="42"/>
      <c r="P26" s="42"/>
      <c r="Q26" s="42"/>
      <c r="R26" s="42"/>
      <c r="S26" s="42">
        <v>56.54</v>
      </c>
      <c r="T26" s="43">
        <v>8.5</v>
      </c>
      <c r="U26" s="2"/>
      <c r="V26" s="1"/>
      <c r="W26" s="1"/>
    </row>
    <row r="27" spans="1:23" ht="24.9" customHeight="1" x14ac:dyDescent="0.25">
      <c r="A27" s="1192"/>
      <c r="B27" s="1190"/>
      <c r="C27" s="28"/>
      <c r="D27" s="25">
        <f>+(D26-D$9)/D$9</f>
        <v>2.1739130434782424E-2</v>
      </c>
      <c r="E27" s="25">
        <f t="shared" ref="E27:T27" si="6">+(E26-E$9)/E$9</f>
        <v>0</v>
      </c>
      <c r="F27" s="25">
        <f t="shared" si="6"/>
        <v>2.1739130434782629E-2</v>
      </c>
      <c r="G27" s="25">
        <f t="shared" si="6"/>
        <v>2.1739130434782629E-2</v>
      </c>
      <c r="H27" s="25">
        <f t="shared" si="6"/>
        <v>1.8575851393188871E-2</v>
      </c>
      <c r="I27" s="25"/>
      <c r="J27" s="25">
        <f t="shared" si="6"/>
        <v>1.9480519480519376E-2</v>
      </c>
      <c r="K27" s="25">
        <f t="shared" si="6"/>
        <v>2.0202020202020221E-2</v>
      </c>
      <c r="L27" s="25">
        <f t="shared" si="6"/>
        <v>0</v>
      </c>
      <c r="M27" s="25">
        <f t="shared" si="6"/>
        <v>0</v>
      </c>
      <c r="N27" s="25">
        <f t="shared" si="6"/>
        <v>0</v>
      </c>
      <c r="O27" s="25"/>
      <c r="P27" s="25"/>
      <c r="Q27" s="25"/>
      <c r="R27" s="25"/>
      <c r="S27" s="25">
        <f t="shared" si="6"/>
        <v>2.0025257081003056E-2</v>
      </c>
      <c r="T27" s="25">
        <f t="shared" si="6"/>
        <v>0</v>
      </c>
      <c r="U27" s="555"/>
      <c r="V27" s="1" t="s">
        <v>169</v>
      </c>
    </row>
    <row r="28" spans="1:23" ht="15" customHeight="1" thickBot="1" x14ac:dyDescent="0.3">
      <c r="A28" s="1192"/>
      <c r="B28" s="1201"/>
      <c r="C28" s="51" t="s">
        <v>17</v>
      </c>
      <c r="D28" s="11">
        <f>+D26*1.3</f>
        <v>0.18329999999999999</v>
      </c>
      <c r="E28" s="5">
        <v>0.1</v>
      </c>
      <c r="F28" s="11">
        <f>+F26*1.3</f>
        <v>0.1222</v>
      </c>
      <c r="G28" s="11">
        <f>+G26*1.3</f>
        <v>0.24440000000000001</v>
      </c>
      <c r="H28" s="11">
        <f>+H26*1.3</f>
        <v>0.42770000000000002</v>
      </c>
      <c r="I28" s="11">
        <f>+I26*1.3</f>
        <v>0</v>
      </c>
      <c r="J28" s="11">
        <f>+J26*1.3</f>
        <v>1.2245999999999999</v>
      </c>
      <c r="K28" s="29">
        <f>+K26</f>
        <v>1.4139999999999999</v>
      </c>
      <c r="L28" s="5">
        <v>5</v>
      </c>
      <c r="M28" s="5">
        <v>15</v>
      </c>
      <c r="N28" s="5">
        <v>25</v>
      </c>
      <c r="O28" s="5"/>
      <c r="P28" s="5"/>
      <c r="Q28" s="5"/>
      <c r="R28" s="5"/>
      <c r="S28" s="5">
        <f>+S26</f>
        <v>56.54</v>
      </c>
      <c r="T28" s="6">
        <v>8.5</v>
      </c>
    </row>
    <row r="29" spans="1:23" ht="24.9" customHeight="1" x14ac:dyDescent="0.25">
      <c r="A29" s="1192"/>
      <c r="B29" s="1188" t="s">
        <v>26</v>
      </c>
      <c r="C29" s="95"/>
      <c r="D29" s="92">
        <v>0.153</v>
      </c>
      <c r="E29" s="92">
        <v>5.0999999999999997E-2</v>
      </c>
      <c r="F29" s="92">
        <v>0.10199999999999999</v>
      </c>
      <c r="G29" s="92">
        <v>0.20399999999999999</v>
      </c>
      <c r="H29" s="92">
        <v>0.35699999999999998</v>
      </c>
      <c r="I29" s="92"/>
      <c r="J29" s="92">
        <v>1.02</v>
      </c>
      <c r="K29" s="92">
        <v>2.1</v>
      </c>
      <c r="L29" s="92">
        <v>3.5</v>
      </c>
      <c r="M29" s="92">
        <v>9</v>
      </c>
      <c r="N29" s="92">
        <v>15</v>
      </c>
      <c r="O29" s="92"/>
      <c r="P29" s="92">
        <v>6</v>
      </c>
      <c r="Q29" s="92">
        <v>9.23</v>
      </c>
      <c r="R29" s="92">
        <v>0.105</v>
      </c>
      <c r="S29" s="92">
        <v>43.35</v>
      </c>
      <c r="T29" s="93">
        <v>4.335</v>
      </c>
      <c r="U29" s="2"/>
    </row>
    <row r="30" spans="1:23" ht="24.9" customHeight="1" thickBot="1" x14ac:dyDescent="0.3">
      <c r="A30" s="1192"/>
      <c r="B30" s="1189"/>
      <c r="C30" s="96"/>
      <c r="D30" s="30">
        <f>+(D29-D$11)/D$11</f>
        <v>2.0000000000000018E-2</v>
      </c>
      <c r="E30" s="30">
        <f t="shared" ref="E30:T30" si="7">+(E29-E$11)/E$11</f>
        <v>1.9999999999999879E-2</v>
      </c>
      <c r="F30" s="30">
        <f t="shared" si="7"/>
        <v>1.9999999999999879E-2</v>
      </c>
      <c r="G30" s="30">
        <f t="shared" si="7"/>
        <v>1.9999999999999879E-2</v>
      </c>
      <c r="H30" s="30">
        <f t="shared" si="7"/>
        <v>2.0000000000000018E-2</v>
      </c>
      <c r="I30" s="30"/>
      <c r="J30" s="30">
        <f t="shared" si="7"/>
        <v>2.0000000000000018E-2</v>
      </c>
      <c r="K30" s="30">
        <f t="shared" si="7"/>
        <v>5.0000000000000044E-2</v>
      </c>
      <c r="L30" s="30">
        <f t="shared" si="7"/>
        <v>4.7904191616766512E-2</v>
      </c>
      <c r="M30" s="30">
        <f t="shared" si="7"/>
        <v>5.8823529411764705E-2</v>
      </c>
      <c r="N30" s="30">
        <f t="shared" si="7"/>
        <v>5.8574453069865917E-2</v>
      </c>
      <c r="O30" s="30"/>
      <c r="P30" s="30">
        <f t="shared" si="7"/>
        <v>0.2</v>
      </c>
      <c r="Q30" s="30">
        <f t="shared" si="7"/>
        <v>0.20026007802340701</v>
      </c>
      <c r="R30" s="30">
        <f t="shared" si="7"/>
        <v>4.9999999999999906E-2</v>
      </c>
      <c r="S30" s="30">
        <f t="shared" si="7"/>
        <v>2.0000000000000035E-2</v>
      </c>
      <c r="T30" s="30">
        <f t="shared" si="7"/>
        <v>1.999999999999999E-2</v>
      </c>
      <c r="U30" s="555"/>
      <c r="V30" s="1" t="s">
        <v>169</v>
      </c>
    </row>
    <row r="31" spans="1:23" ht="24.9" customHeight="1" x14ac:dyDescent="0.25">
      <c r="A31" s="1192"/>
      <c r="B31" s="1198" t="s">
        <v>28</v>
      </c>
      <c r="C31" s="14" t="s">
        <v>16</v>
      </c>
      <c r="D31" s="46">
        <v>0.10100000000000001</v>
      </c>
      <c r="E31" s="46"/>
      <c r="F31" s="46">
        <v>6.7000000000000004E-2</v>
      </c>
      <c r="G31" s="46">
        <v>0.13500000000000001</v>
      </c>
      <c r="H31" s="46">
        <v>0.23400000000000001</v>
      </c>
      <c r="I31" s="46">
        <v>0.10100000000000001</v>
      </c>
      <c r="J31" s="46">
        <v>0.84199999999999997</v>
      </c>
      <c r="K31" s="46">
        <v>1.61</v>
      </c>
      <c r="L31" s="46">
        <v>5</v>
      </c>
      <c r="M31" s="46">
        <v>8.0500000000000007</v>
      </c>
      <c r="N31" s="46">
        <v>25</v>
      </c>
      <c r="O31" s="46"/>
      <c r="P31" s="46">
        <v>6.9770000000000003</v>
      </c>
      <c r="Q31" s="46">
        <v>20</v>
      </c>
      <c r="R31" s="46">
        <v>7.6999999999999999E-2</v>
      </c>
      <c r="S31" s="46">
        <v>42.5</v>
      </c>
      <c r="T31" s="47"/>
      <c r="U31" s="2"/>
    </row>
    <row r="32" spans="1:23" ht="24.9" customHeight="1" x14ac:dyDescent="0.25">
      <c r="A32" s="1192"/>
      <c r="B32" s="1199"/>
      <c r="C32" s="15"/>
      <c r="D32" s="34">
        <f>+(D31-D$12)/D$12</f>
        <v>0</v>
      </c>
      <c r="E32" s="34"/>
      <c r="F32" s="34">
        <f t="shared" ref="F32:S32" si="8">+(F31-F$12)/F$12</f>
        <v>0</v>
      </c>
      <c r="G32" s="34">
        <f t="shared" si="8"/>
        <v>0</v>
      </c>
      <c r="H32" s="34">
        <f t="shared" si="8"/>
        <v>0</v>
      </c>
      <c r="I32" s="34">
        <f t="shared" si="8"/>
        <v>0</v>
      </c>
      <c r="J32" s="34">
        <f t="shared" si="8"/>
        <v>0</v>
      </c>
      <c r="K32" s="34">
        <f t="shared" si="8"/>
        <v>0</v>
      </c>
      <c r="L32" s="34">
        <f t="shared" si="8"/>
        <v>0</v>
      </c>
      <c r="M32" s="34">
        <f t="shared" si="8"/>
        <v>0</v>
      </c>
      <c r="N32" s="34">
        <f t="shared" si="8"/>
        <v>0</v>
      </c>
      <c r="O32" s="34"/>
      <c r="P32" s="34">
        <f t="shared" si="8"/>
        <v>0</v>
      </c>
      <c r="Q32" s="34">
        <f t="shared" si="8"/>
        <v>0</v>
      </c>
      <c r="R32" s="34">
        <f t="shared" si="8"/>
        <v>0</v>
      </c>
      <c r="S32" s="34">
        <f t="shared" si="8"/>
        <v>0</v>
      </c>
      <c r="T32" s="34"/>
      <c r="U32" s="555"/>
      <c r="V32" s="1" t="s">
        <v>169</v>
      </c>
    </row>
    <row r="33" spans="1:23" s="7" customFormat="1" ht="12.75" customHeight="1" x14ac:dyDescent="0.25">
      <c r="A33" s="1192"/>
      <c r="B33" s="1200"/>
      <c r="C33" s="53" t="s">
        <v>17</v>
      </c>
      <c r="D33" s="9">
        <f t="shared" ref="D33:J33" si="9">+D31*1.3</f>
        <v>0.1313</v>
      </c>
      <c r="E33" s="9">
        <f t="shared" si="9"/>
        <v>0</v>
      </c>
      <c r="F33" s="9">
        <f t="shared" si="9"/>
        <v>8.7100000000000011E-2</v>
      </c>
      <c r="G33" s="9">
        <f t="shared" si="9"/>
        <v>0.17550000000000002</v>
      </c>
      <c r="H33" s="9">
        <f t="shared" si="9"/>
        <v>0.30420000000000003</v>
      </c>
      <c r="I33" s="9">
        <f t="shared" si="9"/>
        <v>0.1313</v>
      </c>
      <c r="J33" s="9">
        <f t="shared" si="9"/>
        <v>1.0946</v>
      </c>
      <c r="K33" s="4">
        <v>1.61</v>
      </c>
      <c r="L33" s="4">
        <v>5</v>
      </c>
      <c r="M33" s="4">
        <v>8.0500000000000007</v>
      </c>
      <c r="N33" s="4">
        <v>25</v>
      </c>
      <c r="O33" s="4"/>
      <c r="P33" s="4">
        <v>6.9770000000000003</v>
      </c>
      <c r="Q33" s="4">
        <v>20</v>
      </c>
      <c r="R33" s="9">
        <f>+R31*1.3</f>
        <v>0.10010000000000001</v>
      </c>
      <c r="S33" s="4">
        <v>42.5</v>
      </c>
      <c r="T33" s="10"/>
      <c r="U33" s="8"/>
    </row>
    <row r="34" spans="1:23" ht="12.75" customHeight="1" thickBot="1" x14ac:dyDescent="0.3">
      <c r="A34" s="1192"/>
      <c r="B34" s="1201"/>
      <c r="C34" s="51" t="s">
        <v>22</v>
      </c>
      <c r="D34" s="11">
        <f t="shared" ref="D34:J34" si="10">+D31*1.6</f>
        <v>0.16160000000000002</v>
      </c>
      <c r="E34" s="11">
        <f t="shared" si="10"/>
        <v>0</v>
      </c>
      <c r="F34" s="11">
        <f t="shared" si="10"/>
        <v>0.10720000000000002</v>
      </c>
      <c r="G34" s="11">
        <f t="shared" si="10"/>
        <v>0.21600000000000003</v>
      </c>
      <c r="H34" s="11">
        <f t="shared" si="10"/>
        <v>0.37440000000000007</v>
      </c>
      <c r="I34" s="11">
        <f t="shared" si="10"/>
        <v>0.16160000000000002</v>
      </c>
      <c r="J34" s="11">
        <f t="shared" si="10"/>
        <v>1.3472</v>
      </c>
      <c r="K34" s="5">
        <v>1.61</v>
      </c>
      <c r="L34" s="5">
        <v>5</v>
      </c>
      <c r="M34" s="5">
        <v>8.0500000000000007</v>
      </c>
      <c r="N34" s="5">
        <v>25</v>
      </c>
      <c r="O34" s="5"/>
      <c r="P34" s="5">
        <v>6.9770000000000003</v>
      </c>
      <c r="Q34" s="5">
        <v>20</v>
      </c>
      <c r="R34" s="11">
        <f>+R31*1.6</f>
        <v>0.1232</v>
      </c>
      <c r="S34" s="5">
        <v>42.5</v>
      </c>
      <c r="T34" s="6"/>
    </row>
    <row r="35" spans="1:23" ht="24.9" customHeight="1" x14ac:dyDescent="0.25">
      <c r="A35" s="1192"/>
      <c r="B35" s="1188" t="s">
        <v>29</v>
      </c>
      <c r="C35" s="15" t="s">
        <v>16</v>
      </c>
      <c r="D35" s="48">
        <v>0.15</v>
      </c>
      <c r="E35" s="48">
        <v>3.0000000000000001E-3</v>
      </c>
      <c r="F35" s="48">
        <v>0.12</v>
      </c>
      <c r="G35" s="48">
        <v>0.22</v>
      </c>
      <c r="H35" s="48">
        <v>0.35</v>
      </c>
      <c r="I35" s="48">
        <v>0.2</v>
      </c>
      <c r="J35" s="48">
        <v>1</v>
      </c>
      <c r="K35" s="49">
        <v>2.2000000000000002</v>
      </c>
      <c r="L35" s="48">
        <v>3.7</v>
      </c>
      <c r="M35" s="48">
        <v>12</v>
      </c>
      <c r="N35" s="48">
        <v>20</v>
      </c>
      <c r="O35" s="48"/>
      <c r="P35" s="48">
        <v>9</v>
      </c>
      <c r="Q35" s="48">
        <v>13.8</v>
      </c>
      <c r="R35" s="48">
        <v>0.1</v>
      </c>
      <c r="S35" s="48">
        <v>20</v>
      </c>
      <c r="T35" s="50">
        <v>2</v>
      </c>
      <c r="U35" s="2"/>
    </row>
    <row r="36" spans="1:23" ht="24.9" customHeight="1" x14ac:dyDescent="0.25">
      <c r="A36" s="1192"/>
      <c r="B36" s="1190"/>
      <c r="C36" s="28"/>
      <c r="D36" s="35">
        <f>+(D35-D$15)/D$15</f>
        <v>0</v>
      </c>
      <c r="E36" s="35">
        <f t="shared" ref="E36:T36" si="11">+(E35-E$15)/E$15</f>
        <v>0</v>
      </c>
      <c r="F36" s="35">
        <f t="shared" si="11"/>
        <v>0</v>
      </c>
      <c r="G36" s="35">
        <f t="shared" si="11"/>
        <v>0</v>
      </c>
      <c r="H36" s="35">
        <f t="shared" si="11"/>
        <v>0</v>
      </c>
      <c r="I36" s="35">
        <f t="shared" si="11"/>
        <v>0</v>
      </c>
      <c r="J36" s="35">
        <f t="shared" si="11"/>
        <v>0</v>
      </c>
      <c r="K36" s="35">
        <f t="shared" si="11"/>
        <v>0</v>
      </c>
      <c r="L36" s="35">
        <f t="shared" si="11"/>
        <v>0</v>
      </c>
      <c r="M36" s="35">
        <f t="shared" si="11"/>
        <v>0</v>
      </c>
      <c r="N36" s="35">
        <f t="shared" si="11"/>
        <v>0</v>
      </c>
      <c r="O36" s="35"/>
      <c r="P36" s="35">
        <f t="shared" si="11"/>
        <v>0</v>
      </c>
      <c r="Q36" s="35">
        <f t="shared" si="11"/>
        <v>0</v>
      </c>
      <c r="R36" s="35">
        <f t="shared" si="11"/>
        <v>0</v>
      </c>
      <c r="S36" s="35">
        <f t="shared" si="11"/>
        <v>0</v>
      </c>
      <c r="T36" s="35">
        <f t="shared" si="11"/>
        <v>0</v>
      </c>
      <c r="U36" s="555"/>
      <c r="V36" s="1" t="s">
        <v>169</v>
      </c>
    </row>
    <row r="37" spans="1:23" ht="12.75" customHeight="1" thickBot="1" x14ac:dyDescent="0.3">
      <c r="A37" s="1193"/>
      <c r="B37" s="1189"/>
      <c r="C37" s="51" t="s">
        <v>17</v>
      </c>
      <c r="D37" s="5">
        <v>0.15</v>
      </c>
      <c r="E37" s="5">
        <v>3.0000000000000001E-3</v>
      </c>
      <c r="F37" s="5">
        <v>0.15</v>
      </c>
      <c r="G37" s="5">
        <v>0.27500000000000002</v>
      </c>
      <c r="H37" s="5">
        <v>0.44</v>
      </c>
      <c r="I37" s="5">
        <v>0.2</v>
      </c>
      <c r="J37" s="5">
        <v>1.25</v>
      </c>
      <c r="K37" s="16">
        <v>2.2000000000000002</v>
      </c>
      <c r="L37" s="5">
        <v>3.7</v>
      </c>
      <c r="M37" s="5">
        <v>12</v>
      </c>
      <c r="N37" s="5">
        <v>20</v>
      </c>
      <c r="O37" s="5"/>
      <c r="P37" s="5">
        <v>9</v>
      </c>
      <c r="Q37" s="5">
        <v>13.8</v>
      </c>
      <c r="R37" s="5">
        <v>0.1</v>
      </c>
      <c r="S37" s="5">
        <v>20</v>
      </c>
      <c r="T37" s="6">
        <v>2</v>
      </c>
    </row>
    <row r="38" spans="1:23" ht="24.9" customHeight="1" thickBot="1" x14ac:dyDescent="0.3">
      <c r="F38" s="26"/>
    </row>
    <row r="39" spans="1:23" s="1" customFormat="1" ht="40.5" customHeight="1" x14ac:dyDescent="0.25">
      <c r="A39" s="36"/>
      <c r="B39" s="1194" t="s">
        <v>30</v>
      </c>
      <c r="C39" s="1195"/>
      <c r="D39" s="19" t="s">
        <v>0</v>
      </c>
      <c r="E39" s="19" t="s">
        <v>25</v>
      </c>
      <c r="F39" s="19" t="s">
        <v>1</v>
      </c>
      <c r="G39" s="19" t="s">
        <v>2</v>
      </c>
      <c r="H39" s="19" t="s">
        <v>13</v>
      </c>
      <c r="I39" s="19" t="s">
        <v>14</v>
      </c>
      <c r="J39" s="19" t="s">
        <v>10</v>
      </c>
      <c r="K39" s="19" t="s">
        <v>3</v>
      </c>
      <c r="L39" s="19" t="s">
        <v>4</v>
      </c>
      <c r="M39" s="19" t="s">
        <v>19</v>
      </c>
      <c r="N39" s="19" t="s">
        <v>20</v>
      </c>
      <c r="O39" s="19"/>
      <c r="P39" s="19" t="s">
        <v>5</v>
      </c>
      <c r="Q39" s="19" t="s">
        <v>6</v>
      </c>
      <c r="R39" s="19" t="s">
        <v>18</v>
      </c>
      <c r="S39" s="19" t="s">
        <v>7</v>
      </c>
      <c r="T39" s="20" t="s">
        <v>8</v>
      </c>
      <c r="U39" s="456"/>
    </row>
    <row r="40" spans="1:23" s="1" customFormat="1" ht="24.9" customHeight="1" thickBot="1" x14ac:dyDescent="0.3">
      <c r="A40" s="37"/>
      <c r="B40" s="1196"/>
      <c r="C40" s="1197"/>
      <c r="D40" s="22" t="s">
        <v>9</v>
      </c>
      <c r="E40" s="22"/>
      <c r="F40" s="22" t="s">
        <v>9</v>
      </c>
      <c r="G40" s="22" t="s">
        <v>9</v>
      </c>
      <c r="H40" s="22" t="s">
        <v>9</v>
      </c>
      <c r="I40" s="22" t="s">
        <v>9</v>
      </c>
      <c r="J40" s="22" t="s">
        <v>9</v>
      </c>
      <c r="K40" s="22" t="s">
        <v>9</v>
      </c>
      <c r="L40" s="22" t="s">
        <v>9</v>
      </c>
      <c r="M40" s="22" t="s">
        <v>11</v>
      </c>
      <c r="N40" s="22" t="s">
        <v>11</v>
      </c>
      <c r="O40" s="22"/>
      <c r="P40" s="22" t="s">
        <v>9</v>
      </c>
      <c r="Q40" s="22" t="s">
        <v>9</v>
      </c>
      <c r="R40" s="22" t="s">
        <v>21</v>
      </c>
      <c r="S40" s="22" t="s">
        <v>12</v>
      </c>
      <c r="T40" s="23" t="s">
        <v>12</v>
      </c>
      <c r="U40" s="456"/>
    </row>
    <row r="41" spans="1:23" s="1" customFormat="1" ht="24.9" customHeight="1" x14ac:dyDescent="0.25">
      <c r="A41" s="1192">
        <v>2010</v>
      </c>
      <c r="B41" s="1198" t="s">
        <v>23</v>
      </c>
      <c r="C41" s="1202" t="s">
        <v>16</v>
      </c>
      <c r="D41" s="31">
        <v>0.11799999999999999</v>
      </c>
      <c r="E41" s="31"/>
      <c r="F41" s="31">
        <v>0.1</v>
      </c>
      <c r="G41" s="31">
        <v>0.2</v>
      </c>
      <c r="H41" s="31">
        <v>0.50600000000000001</v>
      </c>
      <c r="I41" s="33">
        <v>9.4E-2</v>
      </c>
      <c r="J41" s="31">
        <v>0.31900000000000001</v>
      </c>
      <c r="K41" s="31">
        <v>2.25</v>
      </c>
      <c r="L41" s="31">
        <v>5</v>
      </c>
      <c r="M41" s="31">
        <v>8.94</v>
      </c>
      <c r="N41" s="31">
        <v>25</v>
      </c>
      <c r="O41" s="31"/>
      <c r="P41" s="31">
        <v>2.36</v>
      </c>
      <c r="Q41" s="31">
        <v>11.8</v>
      </c>
      <c r="R41" s="31">
        <v>0</v>
      </c>
      <c r="S41" s="31">
        <v>30.6</v>
      </c>
      <c r="T41" s="32">
        <v>2.2999999999999998</v>
      </c>
      <c r="U41" s="554"/>
    </row>
    <row r="42" spans="1:23" s="1" customFormat="1" ht="16.5" customHeight="1" x14ac:dyDescent="0.25">
      <c r="A42" s="1192"/>
      <c r="B42" s="1199"/>
      <c r="C42" s="1203"/>
      <c r="D42" s="24">
        <f>+(D41-D$5)/D$5</f>
        <v>0</v>
      </c>
      <c r="E42" s="24"/>
      <c r="F42" s="24">
        <f t="shared" ref="F42:T42" si="12">+(F41-F$5)/F$5</f>
        <v>0</v>
      </c>
      <c r="G42" s="24">
        <f t="shared" si="12"/>
        <v>0</v>
      </c>
      <c r="H42" s="24">
        <f t="shared" si="12"/>
        <v>0.16055045871559634</v>
      </c>
      <c r="I42" s="24">
        <f t="shared" si="12"/>
        <v>0.36231884057971003</v>
      </c>
      <c r="J42" s="24">
        <f t="shared" si="12"/>
        <v>0.17279411764705876</v>
      </c>
      <c r="K42" s="24">
        <f t="shared" si="12"/>
        <v>0</v>
      </c>
      <c r="L42" s="24">
        <f t="shared" si="12"/>
        <v>0</v>
      </c>
      <c r="M42" s="24">
        <f t="shared" si="12"/>
        <v>0.11055900621117996</v>
      </c>
      <c r="N42" s="24">
        <f t="shared" si="12"/>
        <v>0</v>
      </c>
      <c r="O42" s="24"/>
      <c r="P42" s="24">
        <f t="shared" si="12"/>
        <v>0</v>
      </c>
      <c r="Q42" s="24">
        <f t="shared" si="12"/>
        <v>0</v>
      </c>
      <c r="R42" s="24"/>
      <c r="S42" s="24">
        <f t="shared" si="12"/>
        <v>0.44000000000000006</v>
      </c>
      <c r="T42" s="24">
        <f t="shared" si="12"/>
        <v>0.43749999999999983</v>
      </c>
      <c r="U42" s="555"/>
      <c r="V42" s="1" t="s">
        <v>169</v>
      </c>
    </row>
    <row r="43" spans="1:23" s="8" customFormat="1" x14ac:dyDescent="0.25">
      <c r="A43" s="1192"/>
      <c r="B43" s="1200"/>
      <c r="C43" s="53" t="s">
        <v>17</v>
      </c>
      <c r="D43" s="9">
        <f>+D41*1.16</f>
        <v>0.13687999999999997</v>
      </c>
      <c r="E43" s="9">
        <f>+E41*1.16</f>
        <v>0</v>
      </c>
      <c r="F43" s="9">
        <f t="shared" ref="F43:R43" si="13">+F41*1.16</f>
        <v>0.11599999999999999</v>
      </c>
      <c r="G43" s="9">
        <f t="shared" si="13"/>
        <v>0.23199999999999998</v>
      </c>
      <c r="H43" s="9">
        <f t="shared" si="13"/>
        <v>0.58695999999999993</v>
      </c>
      <c r="I43" s="9">
        <f t="shared" si="13"/>
        <v>0.10904</v>
      </c>
      <c r="J43" s="9">
        <f t="shared" si="13"/>
        <v>0.37003999999999998</v>
      </c>
      <c r="K43" s="9">
        <f t="shared" si="13"/>
        <v>2.61</v>
      </c>
      <c r="L43" s="9">
        <f>+L41</f>
        <v>5</v>
      </c>
      <c r="M43" s="9">
        <f t="shared" si="13"/>
        <v>10.370399999999998</v>
      </c>
      <c r="N43" s="9">
        <f t="shared" si="13"/>
        <v>28.999999999999996</v>
      </c>
      <c r="O43" s="9"/>
      <c r="P43" s="9">
        <f t="shared" si="13"/>
        <v>2.7375999999999996</v>
      </c>
      <c r="Q43" s="9">
        <f>+Q41</f>
        <v>11.8</v>
      </c>
      <c r="R43" s="9">
        <f t="shared" si="13"/>
        <v>0</v>
      </c>
      <c r="S43" s="9">
        <f>+S41</f>
        <v>30.6</v>
      </c>
      <c r="T43" s="9">
        <f>+T41</f>
        <v>2.2999999999999998</v>
      </c>
    </row>
    <row r="44" spans="1:23" s="8" customFormat="1" ht="13.8" thickBot="1" x14ac:dyDescent="0.3">
      <c r="A44" s="1192"/>
      <c r="B44" s="1201"/>
      <c r="C44" s="51" t="s">
        <v>22</v>
      </c>
      <c r="D44" s="11">
        <f>+D41*1.33</f>
        <v>0.15694</v>
      </c>
      <c r="E44" s="11">
        <f>+E41*1.33</f>
        <v>0</v>
      </c>
      <c r="F44" s="11">
        <f t="shared" ref="F44:R44" si="14">+F41*1.33</f>
        <v>0.13300000000000001</v>
      </c>
      <c r="G44" s="11">
        <f t="shared" si="14"/>
        <v>0.26600000000000001</v>
      </c>
      <c r="H44" s="11">
        <f t="shared" si="14"/>
        <v>0.67298000000000002</v>
      </c>
      <c r="I44" s="11">
        <f t="shared" si="14"/>
        <v>0.12502000000000002</v>
      </c>
      <c r="J44" s="11">
        <f t="shared" si="14"/>
        <v>0.42427000000000004</v>
      </c>
      <c r="K44" s="11">
        <f t="shared" si="14"/>
        <v>2.9925000000000002</v>
      </c>
      <c r="L44" s="11">
        <f>+L41</f>
        <v>5</v>
      </c>
      <c r="M44" s="11">
        <f t="shared" si="14"/>
        <v>11.8902</v>
      </c>
      <c r="N44" s="11">
        <f t="shared" si="14"/>
        <v>33.25</v>
      </c>
      <c r="O44" s="11"/>
      <c r="P44" s="11">
        <f t="shared" si="14"/>
        <v>3.1387999999999998</v>
      </c>
      <c r="Q44" s="11">
        <f>+Q41</f>
        <v>11.8</v>
      </c>
      <c r="R44" s="11">
        <f t="shared" si="14"/>
        <v>0</v>
      </c>
      <c r="S44" s="11">
        <f>+S41</f>
        <v>30.6</v>
      </c>
      <c r="T44" s="11">
        <f>+T41</f>
        <v>2.2999999999999998</v>
      </c>
    </row>
    <row r="45" spans="1:23" ht="24.9" customHeight="1" thickBot="1" x14ac:dyDescent="0.3">
      <c r="A45" s="1192"/>
      <c r="B45" s="1188" t="s">
        <v>24</v>
      </c>
      <c r="C45" s="52"/>
      <c r="D45" s="40">
        <v>9.2999999999999999E-2</v>
      </c>
      <c r="E45" s="40"/>
      <c r="F45" s="40">
        <v>5.8000000000000003E-2</v>
      </c>
      <c r="G45" s="40">
        <v>0.11600000000000001</v>
      </c>
      <c r="H45" s="40">
        <v>0.23100000000000001</v>
      </c>
      <c r="I45" s="40"/>
      <c r="J45" s="40">
        <v>0.312</v>
      </c>
      <c r="K45" s="40">
        <v>0.54400000000000004</v>
      </c>
      <c r="L45" s="40"/>
      <c r="M45" s="40">
        <v>5.2039999999999997</v>
      </c>
      <c r="N45" s="40"/>
      <c r="O45" s="40"/>
      <c r="P45" s="40">
        <v>0.65900000000000003</v>
      </c>
      <c r="Q45" s="40">
        <v>0.65900000000000003</v>
      </c>
      <c r="R45" s="40"/>
      <c r="S45" s="40">
        <v>9.83</v>
      </c>
      <c r="T45" s="41">
        <v>0.98299999999999998</v>
      </c>
      <c r="U45" s="2"/>
    </row>
    <row r="46" spans="1:23" ht="24.9" customHeight="1" thickBot="1" x14ac:dyDescent="0.3">
      <c r="A46" s="1192"/>
      <c r="B46" s="1189"/>
      <c r="C46" s="52"/>
      <c r="D46" s="25">
        <f>+(D45-D$8)/D$8</f>
        <v>0.16249999999999998</v>
      </c>
      <c r="E46" s="25"/>
      <c r="F46" s="25">
        <f t="shared" ref="F46:T46" si="15">+(F45-F$8)/F$8</f>
        <v>0.16</v>
      </c>
      <c r="G46" s="25">
        <f t="shared" si="15"/>
        <v>0.16</v>
      </c>
      <c r="H46" s="25">
        <f t="shared" si="15"/>
        <v>0.155</v>
      </c>
      <c r="I46" s="25"/>
      <c r="J46" s="25">
        <f t="shared" si="15"/>
        <v>0.15555555555555547</v>
      </c>
      <c r="K46" s="25">
        <f t="shared" si="15"/>
        <v>0.15744680851063844</v>
      </c>
      <c r="L46" s="25"/>
      <c r="M46" s="25">
        <f t="shared" si="15"/>
        <v>0.15644444444444439</v>
      </c>
      <c r="N46" s="25"/>
      <c r="O46" s="25"/>
      <c r="P46" s="25">
        <f t="shared" si="15"/>
        <v>0.15614035087719313</v>
      </c>
      <c r="Q46" s="25"/>
      <c r="R46" s="25"/>
      <c r="S46" s="25">
        <f t="shared" si="15"/>
        <v>0.15647058823529414</v>
      </c>
      <c r="T46" s="25">
        <f t="shared" si="15"/>
        <v>0.15647058823529414</v>
      </c>
      <c r="U46" s="555"/>
      <c r="V46" s="1" t="s">
        <v>169</v>
      </c>
    </row>
    <row r="47" spans="1:23" ht="24.9" customHeight="1" x14ac:dyDescent="0.25">
      <c r="A47" s="1192"/>
      <c r="B47" s="1198" t="s">
        <v>27</v>
      </c>
      <c r="C47" s="14" t="s">
        <v>16</v>
      </c>
      <c r="D47" s="42">
        <v>0.14399999999999999</v>
      </c>
      <c r="E47" s="42">
        <v>0.1</v>
      </c>
      <c r="F47" s="42">
        <v>9.6000000000000002E-2</v>
      </c>
      <c r="G47" s="42">
        <v>0.192</v>
      </c>
      <c r="H47" s="42">
        <v>0.33600000000000002</v>
      </c>
      <c r="I47" s="42"/>
      <c r="J47" s="42">
        <v>0.96099999999999997</v>
      </c>
      <c r="K47" s="42">
        <v>1.4419999999999999</v>
      </c>
      <c r="L47" s="42">
        <v>5</v>
      </c>
      <c r="M47" s="42">
        <v>15</v>
      </c>
      <c r="N47" s="42">
        <v>25</v>
      </c>
      <c r="O47" s="42"/>
      <c r="P47" s="42"/>
      <c r="Q47" s="42"/>
      <c r="R47" s="42"/>
      <c r="S47" s="42">
        <v>57.67</v>
      </c>
      <c r="T47" s="43">
        <v>8.5</v>
      </c>
      <c r="U47" s="2"/>
      <c r="V47" s="1"/>
      <c r="W47" s="1"/>
    </row>
    <row r="48" spans="1:23" ht="24.9" customHeight="1" x14ac:dyDescent="0.25">
      <c r="A48" s="1192"/>
      <c r="B48" s="1190"/>
      <c r="C48" s="28"/>
      <c r="D48" s="25">
        <f>+(D47-D$9)/D$9</f>
        <v>4.347826086956505E-2</v>
      </c>
      <c r="E48" s="25">
        <f t="shared" ref="E48:T48" si="16">+(E47-E$9)/E$9</f>
        <v>0</v>
      </c>
      <c r="F48" s="25">
        <f t="shared" si="16"/>
        <v>4.3478260869565258E-2</v>
      </c>
      <c r="G48" s="25">
        <f t="shared" si="16"/>
        <v>4.3478260869565258E-2</v>
      </c>
      <c r="H48" s="25">
        <f t="shared" si="16"/>
        <v>4.0247678018575886E-2</v>
      </c>
      <c r="I48" s="25"/>
      <c r="J48" s="25">
        <f t="shared" si="16"/>
        <v>4.0043290043289957E-2</v>
      </c>
      <c r="K48" s="25">
        <f t="shared" si="16"/>
        <v>4.0404040404040442E-2</v>
      </c>
      <c r="L48" s="25">
        <f t="shared" si="16"/>
        <v>0</v>
      </c>
      <c r="M48" s="25">
        <f t="shared" si="16"/>
        <v>0</v>
      </c>
      <c r="N48" s="25">
        <f t="shared" si="16"/>
        <v>0</v>
      </c>
      <c r="O48" s="25"/>
      <c r="P48" s="25"/>
      <c r="Q48" s="25"/>
      <c r="R48" s="25"/>
      <c r="S48" s="25">
        <f t="shared" si="16"/>
        <v>4.0411329604907127E-2</v>
      </c>
      <c r="T48" s="25">
        <f t="shared" si="16"/>
        <v>0</v>
      </c>
      <c r="U48" s="555"/>
      <c r="V48" s="1" t="s">
        <v>169</v>
      </c>
    </row>
    <row r="49" spans="1:22" ht="15" customHeight="1" thickBot="1" x14ac:dyDescent="0.3">
      <c r="A49" s="1192"/>
      <c r="B49" s="1201"/>
      <c r="C49" s="51" t="s">
        <v>17</v>
      </c>
      <c r="D49" s="11">
        <f>+D47*1.3</f>
        <v>0.18720000000000001</v>
      </c>
      <c r="E49" s="5">
        <v>0.1</v>
      </c>
      <c r="F49" s="11">
        <f>+F47*1.3</f>
        <v>0.12480000000000001</v>
      </c>
      <c r="G49" s="11">
        <f>+G47*1.3</f>
        <v>0.24960000000000002</v>
      </c>
      <c r="H49" s="11">
        <f>+H47*1.3</f>
        <v>0.43680000000000002</v>
      </c>
      <c r="I49" s="11">
        <f>+I47*1.3</f>
        <v>0</v>
      </c>
      <c r="J49" s="11">
        <f>+J47*1.3</f>
        <v>1.2493000000000001</v>
      </c>
      <c r="K49" s="29">
        <f>+K47</f>
        <v>1.4419999999999999</v>
      </c>
      <c r="L49" s="5">
        <v>5</v>
      </c>
      <c r="M49" s="5">
        <v>15</v>
      </c>
      <c r="N49" s="5">
        <v>25</v>
      </c>
      <c r="O49" s="5"/>
      <c r="P49" s="5"/>
      <c r="Q49" s="5"/>
      <c r="R49" s="5"/>
      <c r="S49" s="5">
        <f>+S47</f>
        <v>57.67</v>
      </c>
      <c r="T49" s="6">
        <v>8.5</v>
      </c>
    </row>
    <row r="50" spans="1:22" ht="24.9" customHeight="1" x14ac:dyDescent="0.25">
      <c r="A50" s="1192"/>
      <c r="B50" s="1188" t="s">
        <v>26</v>
      </c>
      <c r="C50" s="95"/>
      <c r="D50" s="92">
        <v>0.153</v>
      </c>
      <c r="E50" s="92">
        <v>5.0999999999999997E-2</v>
      </c>
      <c r="F50" s="92">
        <v>0.10199999999999999</v>
      </c>
      <c r="G50" s="92">
        <v>0.20399999999999999</v>
      </c>
      <c r="H50" s="92">
        <v>0.35699999999999998</v>
      </c>
      <c r="I50" s="92"/>
      <c r="J50" s="92">
        <v>1.02</v>
      </c>
      <c r="K50" s="92">
        <v>2.1</v>
      </c>
      <c r="L50" s="92">
        <v>3.5</v>
      </c>
      <c r="M50" s="92">
        <v>9</v>
      </c>
      <c r="N50" s="92">
        <v>15</v>
      </c>
      <c r="O50" s="92"/>
      <c r="P50" s="92">
        <v>6</v>
      </c>
      <c r="Q50" s="92">
        <v>9.23</v>
      </c>
      <c r="R50" s="92">
        <v>0.105</v>
      </c>
      <c r="S50" s="92">
        <v>43.35</v>
      </c>
      <c r="T50" s="93">
        <v>4.335</v>
      </c>
      <c r="U50" s="2"/>
    </row>
    <row r="51" spans="1:22" ht="24.9" customHeight="1" thickBot="1" x14ac:dyDescent="0.3">
      <c r="A51" s="1192"/>
      <c r="B51" s="1189"/>
      <c r="C51" s="96"/>
      <c r="D51" s="30">
        <f>+(D50-D$11)/D$11</f>
        <v>2.0000000000000018E-2</v>
      </c>
      <c r="E51" s="30">
        <f t="shared" ref="E51:T51" si="17">+(E50-E$11)/E$11</f>
        <v>1.9999999999999879E-2</v>
      </c>
      <c r="F51" s="30">
        <f t="shared" si="17"/>
        <v>1.9999999999999879E-2</v>
      </c>
      <c r="G51" s="30">
        <f t="shared" si="17"/>
        <v>1.9999999999999879E-2</v>
      </c>
      <c r="H51" s="30">
        <f t="shared" si="17"/>
        <v>2.0000000000000018E-2</v>
      </c>
      <c r="I51" s="30"/>
      <c r="J51" s="30">
        <f t="shared" si="17"/>
        <v>2.0000000000000018E-2</v>
      </c>
      <c r="K51" s="30">
        <f t="shared" si="17"/>
        <v>5.0000000000000044E-2</v>
      </c>
      <c r="L51" s="30">
        <f t="shared" si="17"/>
        <v>4.7904191616766512E-2</v>
      </c>
      <c r="M51" s="30">
        <f t="shared" si="17"/>
        <v>5.8823529411764705E-2</v>
      </c>
      <c r="N51" s="30">
        <f t="shared" si="17"/>
        <v>5.8574453069865917E-2</v>
      </c>
      <c r="O51" s="30"/>
      <c r="P51" s="30">
        <f t="shared" si="17"/>
        <v>0.2</v>
      </c>
      <c r="Q51" s="30">
        <f t="shared" si="17"/>
        <v>0.20026007802340701</v>
      </c>
      <c r="R51" s="30">
        <f t="shared" si="17"/>
        <v>4.9999999999999906E-2</v>
      </c>
      <c r="S51" s="30">
        <f t="shared" si="17"/>
        <v>2.0000000000000035E-2</v>
      </c>
      <c r="T51" s="30">
        <f t="shared" si="17"/>
        <v>1.999999999999999E-2</v>
      </c>
      <c r="U51" s="555"/>
      <c r="V51" s="1" t="s">
        <v>169</v>
      </c>
    </row>
    <row r="52" spans="1:22" ht="24.9" customHeight="1" x14ac:dyDescent="0.25">
      <c r="A52" s="1192"/>
      <c r="B52" s="1198" t="s">
        <v>28</v>
      </c>
      <c r="C52" s="14" t="s">
        <v>16</v>
      </c>
      <c r="D52" s="46">
        <v>0.10299999999999999</v>
      </c>
      <c r="E52" s="46"/>
      <c r="F52" s="46">
        <v>6.8000000000000005E-2</v>
      </c>
      <c r="G52" s="46">
        <v>0.13800000000000001</v>
      </c>
      <c r="H52" s="46">
        <v>0.23899999999999999</v>
      </c>
      <c r="I52" s="46">
        <v>0.10299999999999999</v>
      </c>
      <c r="J52" s="46">
        <v>0.85899999999999999</v>
      </c>
      <c r="K52" s="46">
        <v>1.6419999999999999</v>
      </c>
      <c r="L52" s="46">
        <v>5</v>
      </c>
      <c r="M52" s="46">
        <v>8.2110000000000003</v>
      </c>
      <c r="N52" s="46">
        <v>25</v>
      </c>
      <c r="O52" s="46"/>
      <c r="P52" s="46">
        <v>7.117</v>
      </c>
      <c r="Q52" s="46">
        <v>20</v>
      </c>
      <c r="R52" s="46">
        <v>7.9000000000000001E-2</v>
      </c>
      <c r="S52" s="46">
        <v>43.35</v>
      </c>
      <c r="T52" s="47"/>
      <c r="U52" s="2"/>
    </row>
    <row r="53" spans="1:22" ht="24.9" customHeight="1" x14ac:dyDescent="0.25">
      <c r="A53" s="1192"/>
      <c r="B53" s="1199"/>
      <c r="C53" s="15"/>
      <c r="D53" s="34">
        <f>+(D52-D$12)/D$12</f>
        <v>1.9801980198019681E-2</v>
      </c>
      <c r="E53" s="34"/>
      <c r="F53" s="34">
        <f t="shared" ref="F53:S53" si="18">+(F52-F$12)/F$12</f>
        <v>1.492537313432837E-2</v>
      </c>
      <c r="G53" s="34">
        <f t="shared" si="18"/>
        <v>2.222222222222224E-2</v>
      </c>
      <c r="H53" s="34">
        <f t="shared" si="18"/>
        <v>2.1367521367521267E-2</v>
      </c>
      <c r="I53" s="34">
        <f t="shared" si="18"/>
        <v>1.9801980198019681E-2</v>
      </c>
      <c r="J53" s="34">
        <f t="shared" si="18"/>
        <v>2.019002375296914E-2</v>
      </c>
      <c r="K53" s="34">
        <f t="shared" si="18"/>
        <v>1.9875776397515407E-2</v>
      </c>
      <c r="L53" s="34">
        <f t="shared" si="18"/>
        <v>0</v>
      </c>
      <c r="M53" s="34">
        <f t="shared" si="18"/>
        <v>1.9999999999999948E-2</v>
      </c>
      <c r="N53" s="34">
        <f t="shared" si="18"/>
        <v>0</v>
      </c>
      <c r="O53" s="34"/>
      <c r="P53" s="34">
        <f t="shared" si="18"/>
        <v>2.0065930915866372E-2</v>
      </c>
      <c r="Q53" s="34">
        <f t="shared" si="18"/>
        <v>0</v>
      </c>
      <c r="R53" s="34">
        <f t="shared" si="18"/>
        <v>2.5974025974025997E-2</v>
      </c>
      <c r="S53" s="34">
        <f t="shared" si="18"/>
        <v>2.0000000000000035E-2</v>
      </c>
      <c r="T53" s="34"/>
      <c r="U53" s="555"/>
      <c r="V53" s="1" t="s">
        <v>169</v>
      </c>
    </row>
    <row r="54" spans="1:22" s="7" customFormat="1" ht="12.75" customHeight="1" x14ac:dyDescent="0.25">
      <c r="A54" s="1192"/>
      <c r="B54" s="1200"/>
      <c r="C54" s="53" t="s">
        <v>17</v>
      </c>
      <c r="D54" s="9">
        <f t="shared" ref="D54:J54" si="19">+D52*1.3</f>
        <v>0.13389999999999999</v>
      </c>
      <c r="E54" s="9">
        <f t="shared" si="19"/>
        <v>0</v>
      </c>
      <c r="F54" s="9">
        <v>8.8999999999999996E-2</v>
      </c>
      <c r="G54" s="9">
        <f t="shared" si="19"/>
        <v>0.17940000000000003</v>
      </c>
      <c r="H54" s="9">
        <f t="shared" si="19"/>
        <v>0.31069999999999998</v>
      </c>
      <c r="I54" s="9">
        <f t="shared" si="19"/>
        <v>0.13389999999999999</v>
      </c>
      <c r="J54" s="9">
        <f t="shared" si="19"/>
        <v>1.1167</v>
      </c>
      <c r="K54" s="4">
        <f>+K52</f>
        <v>1.6419999999999999</v>
      </c>
      <c r="L54" s="4">
        <v>5</v>
      </c>
      <c r="M54" s="4">
        <f>+M52</f>
        <v>8.2110000000000003</v>
      </c>
      <c r="N54" s="4">
        <v>25</v>
      </c>
      <c r="O54" s="4"/>
      <c r="P54" s="4">
        <f>+P52</f>
        <v>7.117</v>
      </c>
      <c r="Q54" s="4">
        <v>20</v>
      </c>
      <c r="R54" s="9">
        <v>0.10199999999999999</v>
      </c>
      <c r="S54" s="4">
        <v>43.35</v>
      </c>
      <c r="T54" s="10"/>
      <c r="U54" s="8"/>
    </row>
    <row r="55" spans="1:22" ht="12.75" customHeight="1" thickBot="1" x14ac:dyDescent="0.3">
      <c r="A55" s="1192"/>
      <c r="B55" s="1201"/>
      <c r="C55" s="51" t="s">
        <v>22</v>
      </c>
      <c r="D55" s="11">
        <v>0.16400000000000001</v>
      </c>
      <c r="E55" s="11">
        <f t="shared" ref="E55:J55" si="20">+E52*1.6</f>
        <v>0</v>
      </c>
      <c r="F55" s="11">
        <f t="shared" si="20"/>
        <v>0.10880000000000001</v>
      </c>
      <c r="G55" s="11">
        <v>0.22</v>
      </c>
      <c r="H55" s="11">
        <v>0.38300000000000001</v>
      </c>
      <c r="I55" s="11">
        <v>0.16400000000000001</v>
      </c>
      <c r="J55" s="11">
        <f t="shared" si="20"/>
        <v>1.3744000000000001</v>
      </c>
      <c r="K55" s="5">
        <f>+K52</f>
        <v>1.6419999999999999</v>
      </c>
      <c r="L55" s="5">
        <v>5</v>
      </c>
      <c r="M55" s="5">
        <f>+M52</f>
        <v>8.2110000000000003</v>
      </c>
      <c r="N55" s="5">
        <v>25</v>
      </c>
      <c r="O55" s="5"/>
      <c r="P55" s="5">
        <f>+P52</f>
        <v>7.117</v>
      </c>
      <c r="Q55" s="5">
        <v>20</v>
      </c>
      <c r="R55" s="11">
        <v>0.125</v>
      </c>
      <c r="S55" s="5">
        <v>43.35</v>
      </c>
      <c r="T55" s="6"/>
    </row>
    <row r="56" spans="1:22" ht="24.9" customHeight="1" x14ac:dyDescent="0.25">
      <c r="A56" s="1192"/>
      <c r="B56" s="1188" t="s">
        <v>29</v>
      </c>
      <c r="C56" s="15" t="s">
        <v>16</v>
      </c>
      <c r="D56" s="48">
        <v>0.15</v>
      </c>
      <c r="E56" s="48">
        <v>3.0000000000000001E-3</v>
      </c>
      <c r="F56" s="48">
        <v>0.12</v>
      </c>
      <c r="G56" s="48">
        <v>0.22</v>
      </c>
      <c r="H56" s="48">
        <v>0.35</v>
      </c>
      <c r="I56" s="48">
        <v>0.2</v>
      </c>
      <c r="J56" s="48">
        <v>1</v>
      </c>
      <c r="K56" s="48">
        <v>2.2000000000000002</v>
      </c>
      <c r="L56" s="48">
        <v>3.7</v>
      </c>
      <c r="M56" s="48">
        <v>12</v>
      </c>
      <c r="N56" s="48">
        <v>20</v>
      </c>
      <c r="O56" s="48"/>
      <c r="P56" s="48">
        <v>9</v>
      </c>
      <c r="Q56" s="48">
        <v>13.8</v>
      </c>
      <c r="R56" s="48">
        <v>0.1</v>
      </c>
      <c r="S56" s="48">
        <v>20</v>
      </c>
      <c r="T56" s="50">
        <v>2</v>
      </c>
      <c r="U56" s="2"/>
    </row>
    <row r="57" spans="1:22" ht="24.9" customHeight="1" x14ac:dyDescent="0.25">
      <c r="A57" s="1192"/>
      <c r="B57" s="1190"/>
      <c r="C57" s="28"/>
      <c r="D57" s="35">
        <f>+(D56-D$15)/D$15</f>
        <v>0</v>
      </c>
      <c r="E57" s="35">
        <f t="shared" ref="E57:T57" si="21">+(E56-E$15)/E$15</f>
        <v>0</v>
      </c>
      <c r="F57" s="35">
        <f t="shared" si="21"/>
        <v>0</v>
      </c>
      <c r="G57" s="35">
        <f t="shared" si="21"/>
        <v>0</v>
      </c>
      <c r="H57" s="35">
        <f t="shared" si="21"/>
        <v>0</v>
      </c>
      <c r="I57" s="35">
        <f t="shared" si="21"/>
        <v>0</v>
      </c>
      <c r="J57" s="35">
        <f t="shared" si="21"/>
        <v>0</v>
      </c>
      <c r="K57" s="35">
        <f t="shared" si="21"/>
        <v>0</v>
      </c>
      <c r="L57" s="35">
        <f t="shared" si="21"/>
        <v>0</v>
      </c>
      <c r="M57" s="35">
        <f t="shared" si="21"/>
        <v>0</v>
      </c>
      <c r="N57" s="35">
        <f t="shared" si="21"/>
        <v>0</v>
      </c>
      <c r="O57" s="35"/>
      <c r="P57" s="35">
        <f t="shared" si="21"/>
        <v>0</v>
      </c>
      <c r="Q57" s="35">
        <f t="shared" si="21"/>
        <v>0</v>
      </c>
      <c r="R57" s="35">
        <f t="shared" si="21"/>
        <v>0</v>
      </c>
      <c r="S57" s="35">
        <f t="shared" si="21"/>
        <v>0</v>
      </c>
      <c r="T57" s="35">
        <f t="shared" si="21"/>
        <v>0</v>
      </c>
      <c r="U57" s="555"/>
    </row>
    <row r="58" spans="1:22" ht="12.75" customHeight="1" thickBot="1" x14ac:dyDescent="0.3">
      <c r="A58" s="1193"/>
      <c r="B58" s="1189"/>
      <c r="C58" s="51" t="s">
        <v>17</v>
      </c>
      <c r="D58" s="5">
        <v>0.15</v>
      </c>
      <c r="E58" s="5">
        <v>3.0000000000000001E-3</v>
      </c>
      <c r="F58" s="5">
        <v>0.15</v>
      </c>
      <c r="G58" s="5">
        <v>0.27500000000000002</v>
      </c>
      <c r="H58" s="5">
        <v>0.44</v>
      </c>
      <c r="I58" s="5">
        <v>0.2</v>
      </c>
      <c r="J58" s="5">
        <v>1.25</v>
      </c>
      <c r="K58" s="16">
        <v>2.2000000000000002</v>
      </c>
      <c r="L58" s="5">
        <v>3.7</v>
      </c>
      <c r="M58" s="5">
        <v>12</v>
      </c>
      <c r="N58" s="5">
        <v>20</v>
      </c>
      <c r="O58" s="5"/>
      <c r="P58" s="5">
        <v>9</v>
      </c>
      <c r="Q58" s="5">
        <v>13.8</v>
      </c>
      <c r="R58" s="5">
        <v>0.1</v>
      </c>
      <c r="S58" s="5">
        <v>20</v>
      </c>
      <c r="T58" s="6">
        <v>2</v>
      </c>
    </row>
    <row r="59" spans="1:22" ht="24.9" customHeight="1" thickBot="1" x14ac:dyDescent="0.3"/>
    <row r="60" spans="1:22" s="1" customFormat="1" ht="40.5" customHeight="1" x14ac:dyDescent="0.25">
      <c r="A60" s="36"/>
      <c r="B60" s="1194" t="s">
        <v>30</v>
      </c>
      <c r="C60" s="1195"/>
      <c r="D60" s="19" t="s">
        <v>0</v>
      </c>
      <c r="E60" s="19" t="s">
        <v>25</v>
      </c>
      <c r="F60" s="19" t="s">
        <v>1</v>
      </c>
      <c r="G60" s="19" t="s">
        <v>2</v>
      </c>
      <c r="H60" s="19" t="s">
        <v>13</v>
      </c>
      <c r="I60" s="19" t="s">
        <v>14</v>
      </c>
      <c r="J60" s="19" t="s">
        <v>10</v>
      </c>
      <c r="K60" s="19" t="s">
        <v>3</v>
      </c>
      <c r="L60" s="19" t="s">
        <v>4</v>
      </c>
      <c r="M60" s="19" t="s">
        <v>19</v>
      </c>
      <c r="N60" s="19" t="s">
        <v>20</v>
      </c>
      <c r="O60" s="19"/>
      <c r="P60" s="19" t="s">
        <v>5</v>
      </c>
      <c r="Q60" s="19" t="s">
        <v>6</v>
      </c>
      <c r="R60" s="19" t="s">
        <v>18</v>
      </c>
      <c r="S60" s="19" t="s">
        <v>7</v>
      </c>
      <c r="T60" s="20" t="s">
        <v>8</v>
      </c>
      <c r="U60" s="456"/>
    </row>
    <row r="61" spans="1:22" s="1" customFormat="1" ht="24.9" customHeight="1" thickBot="1" x14ac:dyDescent="0.3">
      <c r="A61" s="37"/>
      <c r="B61" s="1196"/>
      <c r="C61" s="1197"/>
      <c r="D61" s="22" t="s">
        <v>9</v>
      </c>
      <c r="E61" s="22"/>
      <c r="F61" s="22" t="s">
        <v>9</v>
      </c>
      <c r="G61" s="22" t="s">
        <v>9</v>
      </c>
      <c r="H61" s="22" t="s">
        <v>9</v>
      </c>
      <c r="I61" s="22" t="s">
        <v>9</v>
      </c>
      <c r="J61" s="22" t="s">
        <v>9</v>
      </c>
      <c r="K61" s="22" t="s">
        <v>9</v>
      </c>
      <c r="L61" s="22" t="s">
        <v>9</v>
      </c>
      <c r="M61" s="22" t="s">
        <v>11</v>
      </c>
      <c r="N61" s="22" t="s">
        <v>11</v>
      </c>
      <c r="O61" s="22"/>
      <c r="P61" s="22" t="s">
        <v>9</v>
      </c>
      <c r="Q61" s="22" t="s">
        <v>9</v>
      </c>
      <c r="R61" s="22" t="s">
        <v>21</v>
      </c>
      <c r="S61" s="22" t="s">
        <v>12</v>
      </c>
      <c r="T61" s="23" t="s">
        <v>12</v>
      </c>
      <c r="U61" s="456"/>
    </row>
    <row r="62" spans="1:22" s="1" customFormat="1" ht="24.9" customHeight="1" x14ac:dyDescent="0.25">
      <c r="A62" s="1192">
        <v>2011</v>
      </c>
      <c r="B62" s="1198" t="s">
        <v>23</v>
      </c>
      <c r="C62" s="1202" t="s">
        <v>16</v>
      </c>
      <c r="D62" s="31">
        <v>0.11799999999999999</v>
      </c>
      <c r="E62" s="31"/>
      <c r="F62" s="31">
        <v>0.1</v>
      </c>
      <c r="G62" s="31">
        <v>0.2</v>
      </c>
      <c r="H62" s="31">
        <v>0.58699999999999997</v>
      </c>
      <c r="I62" s="33">
        <v>0.11899999999999999</v>
      </c>
      <c r="J62" s="31">
        <v>0.35699999999999998</v>
      </c>
      <c r="K62" s="31">
        <v>2.25</v>
      </c>
      <c r="L62" s="31">
        <v>5</v>
      </c>
      <c r="M62" s="31">
        <v>9.92</v>
      </c>
      <c r="N62" s="31">
        <v>25</v>
      </c>
      <c r="O62" s="31"/>
      <c r="P62" s="31">
        <v>2.36</v>
      </c>
      <c r="Q62" s="31">
        <v>11.8</v>
      </c>
      <c r="R62" s="31">
        <v>0</v>
      </c>
      <c r="S62" s="31">
        <v>36.700000000000003</v>
      </c>
      <c r="T62" s="32">
        <v>2.7</v>
      </c>
      <c r="U62" s="554"/>
    </row>
    <row r="63" spans="1:22" s="1" customFormat="1" ht="16.5" customHeight="1" x14ac:dyDescent="0.25">
      <c r="A63" s="1192"/>
      <c r="B63" s="1199"/>
      <c r="C63" s="1203"/>
      <c r="D63" s="24">
        <f>+(D62-D$5)/D$5</f>
        <v>0</v>
      </c>
      <c r="E63" s="24"/>
      <c r="F63" s="24">
        <f t="shared" ref="F63:Q63" si="22">+(F62-F$5)/F$5</f>
        <v>0</v>
      </c>
      <c r="G63" s="24">
        <f t="shared" si="22"/>
        <v>0</v>
      </c>
      <c r="H63" s="24">
        <f t="shared" si="22"/>
        <v>0.34633027522935772</v>
      </c>
      <c r="I63" s="24">
        <f t="shared" si="22"/>
        <v>0.72463768115942007</v>
      </c>
      <c r="J63" s="24">
        <f t="shared" si="22"/>
        <v>0.31249999999999983</v>
      </c>
      <c r="K63" s="24">
        <f t="shared" si="22"/>
        <v>0</v>
      </c>
      <c r="L63" s="24">
        <f t="shared" si="22"/>
        <v>0</v>
      </c>
      <c r="M63" s="24">
        <f t="shared" si="22"/>
        <v>0.23229813664596261</v>
      </c>
      <c r="N63" s="24">
        <f t="shared" si="22"/>
        <v>0</v>
      </c>
      <c r="O63" s="24"/>
      <c r="P63" s="24">
        <f t="shared" si="22"/>
        <v>0</v>
      </c>
      <c r="Q63" s="24">
        <f t="shared" si="22"/>
        <v>0</v>
      </c>
      <c r="R63" s="24"/>
      <c r="S63" s="24">
        <f>+(S62-S$5)/S$5</f>
        <v>0.72705882352941187</v>
      </c>
      <c r="T63" s="24">
        <f>+(T62-T$5)/T$5</f>
        <v>0.6875</v>
      </c>
      <c r="U63" s="555"/>
      <c r="V63" s="1" t="s">
        <v>169</v>
      </c>
    </row>
    <row r="64" spans="1:22" s="8" customFormat="1" x14ac:dyDescent="0.25">
      <c r="A64" s="1192"/>
      <c r="B64" s="1200"/>
      <c r="C64" s="53" t="s">
        <v>17</v>
      </c>
      <c r="D64" s="9">
        <f>+D62*1.16</f>
        <v>0.13687999999999997</v>
      </c>
      <c r="E64" s="9"/>
      <c r="F64" s="9">
        <f t="shared" ref="F64:T64" si="23">+F62*1.16</f>
        <v>0.11599999999999999</v>
      </c>
      <c r="G64" s="9">
        <f t="shared" si="23"/>
        <v>0.23199999999999998</v>
      </c>
      <c r="H64" s="9">
        <f t="shared" si="23"/>
        <v>0.68091999999999986</v>
      </c>
      <c r="I64" s="9">
        <f t="shared" si="23"/>
        <v>0.13804</v>
      </c>
      <c r="J64" s="9">
        <f t="shared" si="23"/>
        <v>0.41411999999999993</v>
      </c>
      <c r="K64" s="9">
        <f t="shared" si="23"/>
        <v>2.61</v>
      </c>
      <c r="L64" s="9">
        <f t="shared" si="23"/>
        <v>5.8</v>
      </c>
      <c r="M64" s="9">
        <f t="shared" si="23"/>
        <v>11.507199999999999</v>
      </c>
      <c r="N64" s="9">
        <f t="shared" si="23"/>
        <v>28.999999999999996</v>
      </c>
      <c r="O64" s="9"/>
      <c r="P64" s="9">
        <f t="shared" si="23"/>
        <v>2.7375999999999996</v>
      </c>
      <c r="Q64" s="9">
        <f t="shared" si="23"/>
        <v>13.688000000000001</v>
      </c>
      <c r="R64" s="9">
        <f t="shared" si="23"/>
        <v>0</v>
      </c>
      <c r="S64" s="9">
        <f t="shared" si="23"/>
        <v>42.572000000000003</v>
      </c>
      <c r="T64" s="10">
        <f t="shared" si="23"/>
        <v>3.1320000000000001</v>
      </c>
    </row>
    <row r="65" spans="1:22" s="8" customFormat="1" ht="13.8" thickBot="1" x14ac:dyDescent="0.3">
      <c r="A65" s="1192"/>
      <c r="B65" s="1201"/>
      <c r="C65" s="51" t="s">
        <v>22</v>
      </c>
      <c r="D65" s="11">
        <f>+D62*1.33</f>
        <v>0.15694</v>
      </c>
      <c r="E65" s="11"/>
      <c r="F65" s="11">
        <f t="shared" ref="F65:T65" si="24">+F62*1.33</f>
        <v>0.13300000000000001</v>
      </c>
      <c r="G65" s="11">
        <f t="shared" si="24"/>
        <v>0.26600000000000001</v>
      </c>
      <c r="H65" s="11">
        <f t="shared" si="24"/>
        <v>0.78071000000000002</v>
      </c>
      <c r="I65" s="11">
        <f t="shared" si="24"/>
        <v>0.15826999999999999</v>
      </c>
      <c r="J65" s="11">
        <f t="shared" si="24"/>
        <v>0.47481000000000001</v>
      </c>
      <c r="K65" s="11">
        <f t="shared" si="24"/>
        <v>2.9925000000000002</v>
      </c>
      <c r="L65" s="11">
        <f t="shared" si="24"/>
        <v>6.65</v>
      </c>
      <c r="M65" s="11">
        <f t="shared" si="24"/>
        <v>13.1936</v>
      </c>
      <c r="N65" s="11">
        <f t="shared" si="24"/>
        <v>33.25</v>
      </c>
      <c r="O65" s="11"/>
      <c r="P65" s="11">
        <f t="shared" si="24"/>
        <v>3.1387999999999998</v>
      </c>
      <c r="Q65" s="11">
        <f t="shared" si="24"/>
        <v>15.694000000000003</v>
      </c>
      <c r="R65" s="11">
        <f t="shared" si="24"/>
        <v>0</v>
      </c>
      <c r="S65" s="11">
        <f t="shared" si="24"/>
        <v>48.811000000000007</v>
      </c>
      <c r="T65" s="12">
        <f t="shared" si="24"/>
        <v>3.5910000000000006</v>
      </c>
    </row>
    <row r="66" spans="1:22" s="1" customFormat="1" ht="24.9" customHeight="1" x14ac:dyDescent="0.25">
      <c r="A66" s="1192"/>
      <c r="B66" s="1188" t="s">
        <v>24</v>
      </c>
      <c r="C66" s="95"/>
      <c r="D66" s="97">
        <v>0.10299999999999999</v>
      </c>
      <c r="E66" s="97"/>
      <c r="F66" s="97">
        <v>6.5000000000000002E-2</v>
      </c>
      <c r="G66" s="97">
        <v>0.13</v>
      </c>
      <c r="H66" s="97">
        <v>0.26</v>
      </c>
      <c r="I66" s="97"/>
      <c r="J66" s="97">
        <v>0.35</v>
      </c>
      <c r="K66" s="97">
        <v>0.61099999999999999</v>
      </c>
      <c r="L66" s="97"/>
      <c r="M66" s="97">
        <v>5.8419999999999996</v>
      </c>
      <c r="N66" s="97"/>
      <c r="O66" s="97"/>
      <c r="P66" s="97">
        <v>0.74</v>
      </c>
      <c r="Q66" s="97"/>
      <c r="R66" s="97"/>
      <c r="S66" s="97">
        <v>11.035</v>
      </c>
      <c r="T66" s="98">
        <v>1.1040000000000001</v>
      </c>
      <c r="U66" s="2"/>
    </row>
    <row r="67" spans="1:22" ht="24.9" customHeight="1" thickBot="1" x14ac:dyDescent="0.3">
      <c r="A67" s="1192"/>
      <c r="B67" s="1189"/>
      <c r="C67" s="99"/>
      <c r="D67" s="25">
        <f>+(D66-D$8)/D$8</f>
        <v>0.28749999999999992</v>
      </c>
      <c r="E67" s="25"/>
      <c r="F67" s="25">
        <f>+(F66-F$8)/F$8</f>
        <v>0.3</v>
      </c>
      <c r="G67" s="25">
        <f>+(G66-G$8)/G$8</f>
        <v>0.3</v>
      </c>
      <c r="H67" s="25">
        <f>+(H66-H$8)/H$8</f>
        <v>0.3</v>
      </c>
      <c r="I67" s="25"/>
      <c r="J67" s="25">
        <f>+(J66-J$8)/J$8</f>
        <v>0.29629629629629611</v>
      </c>
      <c r="K67" s="25">
        <f>+(K66-K$8)/K$8</f>
        <v>0.30000000000000004</v>
      </c>
      <c r="L67" s="25"/>
      <c r="M67" s="25">
        <f>+(M66-M$8)/M$8</f>
        <v>0.29822222222222217</v>
      </c>
      <c r="N67" s="25"/>
      <c r="O67" s="25"/>
      <c r="P67" s="25">
        <f>+(P66-P$8)/P$8</f>
        <v>0.29824561403508781</v>
      </c>
      <c r="Q67" s="25"/>
      <c r="R67" s="25"/>
      <c r="S67" s="25">
        <f>+(S66-S$8)/S$8</f>
        <v>0.2982352941176471</v>
      </c>
      <c r="T67" s="25">
        <f>+(T66-T$8)/T$8</f>
        <v>0.29882352941176482</v>
      </c>
      <c r="U67" s="555"/>
      <c r="V67" s="1" t="s">
        <v>169</v>
      </c>
    </row>
    <row r="68" spans="1:22" s="1" customFormat="1" ht="24.9" customHeight="1" x14ac:dyDescent="0.25">
      <c r="A68" s="1192"/>
      <c r="B68" s="1198" t="s">
        <v>27</v>
      </c>
      <c r="C68" s="14" t="s">
        <v>16</v>
      </c>
      <c r="D68" s="42">
        <v>0.14699999999999999</v>
      </c>
      <c r="E68" s="42">
        <v>0.1</v>
      </c>
      <c r="F68" s="42">
        <v>9.8000000000000004E-2</v>
      </c>
      <c r="G68" s="42">
        <v>0.19600000000000001</v>
      </c>
      <c r="H68" s="42">
        <v>0.34300000000000003</v>
      </c>
      <c r="I68" s="42"/>
      <c r="J68" s="42">
        <v>0.98</v>
      </c>
      <c r="K68" s="42">
        <v>1.4710000000000001</v>
      </c>
      <c r="L68" s="42">
        <v>5</v>
      </c>
      <c r="M68" s="42">
        <v>15</v>
      </c>
      <c r="N68" s="42">
        <v>25</v>
      </c>
      <c r="O68" s="42"/>
      <c r="P68" s="42"/>
      <c r="Q68" s="42"/>
      <c r="R68" s="42"/>
      <c r="S68" s="42">
        <v>58.82</v>
      </c>
      <c r="T68" s="43">
        <v>8.5</v>
      </c>
      <c r="U68" s="2"/>
    </row>
    <row r="69" spans="1:22" ht="24.9" customHeight="1" x14ac:dyDescent="0.25">
      <c r="A69" s="1192"/>
      <c r="B69" s="1190"/>
      <c r="C69" s="28"/>
      <c r="D69" s="38">
        <f>+(D68-D$9)/D$9</f>
        <v>6.5217391304347672E-2</v>
      </c>
      <c r="E69" s="38">
        <f>+(E68-E$9)/E$9</f>
        <v>0</v>
      </c>
      <c r="F69" s="38">
        <f>+(F68-F$9)/F$9</f>
        <v>6.521739130434788E-2</v>
      </c>
      <c r="G69" s="38">
        <f>+(G68-G$9)/G$9</f>
        <v>6.521739130434788E-2</v>
      </c>
      <c r="H69" s="38">
        <f>+(H68-H$9)/H$9</f>
        <v>6.1919504643962904E-2</v>
      </c>
      <c r="I69" s="38"/>
      <c r="J69" s="38">
        <f>+(J68-J$9)/J$9</f>
        <v>6.0606060606060538E-2</v>
      </c>
      <c r="K69" s="38">
        <f>+(K68-K$9)/K$9</f>
        <v>6.1327561327561467E-2</v>
      </c>
      <c r="L69" s="38">
        <f>+(L68-L$9)/L$9</f>
        <v>0</v>
      </c>
      <c r="M69" s="38">
        <f>+(M68-M$9)/M$9</f>
        <v>0</v>
      </c>
      <c r="N69" s="38">
        <f>+(N68-N$9)/N$9</f>
        <v>0</v>
      </c>
      <c r="O69" s="38"/>
      <c r="P69" s="38"/>
      <c r="Q69" s="38"/>
      <c r="R69" s="38"/>
      <c r="S69" s="38">
        <f>+(S68-S$9)/S$9</f>
        <v>6.1158217571712081E-2</v>
      </c>
      <c r="T69" s="38">
        <f>+(T68-T$9)/T$9</f>
        <v>0</v>
      </c>
      <c r="U69" s="555"/>
      <c r="V69" s="1" t="s">
        <v>169</v>
      </c>
    </row>
    <row r="70" spans="1:22" ht="15" customHeight="1" thickBot="1" x14ac:dyDescent="0.3">
      <c r="A70" s="1192"/>
      <c r="B70" s="1201"/>
      <c r="C70" s="51" t="s">
        <v>17</v>
      </c>
      <c r="D70" s="11">
        <f>+D68*1.3</f>
        <v>0.19109999999999999</v>
      </c>
      <c r="E70" s="5">
        <v>0.1</v>
      </c>
      <c r="F70" s="11">
        <f>+F68*1.3</f>
        <v>0.12740000000000001</v>
      </c>
      <c r="G70" s="11">
        <f>+G68*1.3</f>
        <v>0.25480000000000003</v>
      </c>
      <c r="H70" s="11">
        <f>+H68*1.3</f>
        <v>0.44590000000000007</v>
      </c>
      <c r="I70" s="11">
        <f>+I68*1.3</f>
        <v>0</v>
      </c>
      <c r="J70" s="11">
        <f>+J68*1.3</f>
        <v>1.274</v>
      </c>
      <c r="K70" s="29">
        <f>+K68</f>
        <v>1.4710000000000001</v>
      </c>
      <c r="L70" s="5">
        <v>5</v>
      </c>
      <c r="M70" s="5">
        <v>15</v>
      </c>
      <c r="N70" s="5">
        <v>25</v>
      </c>
      <c r="O70" s="5"/>
      <c r="P70" s="5"/>
      <c r="Q70" s="5"/>
      <c r="R70" s="5"/>
      <c r="S70" s="5">
        <f>+S68</f>
        <v>58.82</v>
      </c>
      <c r="T70" s="6">
        <v>8.5</v>
      </c>
    </row>
    <row r="71" spans="1:22" s="1" customFormat="1" ht="24.9" customHeight="1" x14ac:dyDescent="0.25">
      <c r="A71" s="1192"/>
      <c r="B71" s="1188" t="s">
        <v>26</v>
      </c>
      <c r="C71" s="95"/>
      <c r="D71" s="92">
        <v>0.156</v>
      </c>
      <c r="E71" s="92">
        <v>5.2999999999999999E-2</v>
      </c>
      <c r="F71" s="92">
        <v>0.104</v>
      </c>
      <c r="G71" s="92">
        <v>0.20799999999999999</v>
      </c>
      <c r="H71" s="92">
        <v>0.36399999999999999</v>
      </c>
      <c r="I71" s="92"/>
      <c r="J71" s="92">
        <v>1.04</v>
      </c>
      <c r="K71" s="92">
        <v>2.2000000000000002</v>
      </c>
      <c r="L71" s="92">
        <v>3.67</v>
      </c>
      <c r="M71" s="92">
        <v>9.5</v>
      </c>
      <c r="N71" s="92">
        <v>15.83</v>
      </c>
      <c r="O71" s="92"/>
      <c r="P71" s="92">
        <v>7</v>
      </c>
      <c r="Q71" s="92">
        <v>10.77</v>
      </c>
      <c r="R71" s="92">
        <v>0.11</v>
      </c>
      <c r="S71" s="92">
        <v>44.216999999999999</v>
      </c>
      <c r="T71" s="93">
        <v>4.4219999999999997</v>
      </c>
      <c r="U71" s="2"/>
    </row>
    <row r="72" spans="1:22" ht="24.9" customHeight="1" thickBot="1" x14ac:dyDescent="0.3">
      <c r="A72" s="1192"/>
      <c r="B72" s="1189"/>
      <c r="C72" s="96"/>
      <c r="D72" s="30">
        <f>+(D71-D$11)/D$11</f>
        <v>4.0000000000000036E-2</v>
      </c>
      <c r="E72" s="30">
        <f>+(E71-E$11)/E$11</f>
        <v>5.9999999999999915E-2</v>
      </c>
      <c r="F72" s="30">
        <f>+(F71-F$11)/F$11</f>
        <v>3.9999999999999897E-2</v>
      </c>
      <c r="G72" s="30">
        <f>+(G71-G$11)/G$11</f>
        <v>3.9999999999999897E-2</v>
      </c>
      <c r="H72" s="30">
        <f>+(H71-H$11)/H$11</f>
        <v>4.0000000000000036E-2</v>
      </c>
      <c r="I72" s="30"/>
      <c r="J72" s="30">
        <f t="shared" ref="J72:T72" si="25">+(J71-J$11)/J$11</f>
        <v>4.0000000000000036E-2</v>
      </c>
      <c r="K72" s="30">
        <f t="shared" si="25"/>
        <v>0.10000000000000009</v>
      </c>
      <c r="L72" s="30">
        <f t="shared" si="25"/>
        <v>9.8802395209580868E-2</v>
      </c>
      <c r="M72" s="30">
        <f t="shared" si="25"/>
        <v>0.11764705882352941</v>
      </c>
      <c r="N72" s="30">
        <f t="shared" si="25"/>
        <v>0.11714890613973183</v>
      </c>
      <c r="O72" s="30"/>
      <c r="P72" s="30">
        <f t="shared" si="25"/>
        <v>0.4</v>
      </c>
      <c r="Q72" s="30">
        <f t="shared" si="25"/>
        <v>0.4005201560468139</v>
      </c>
      <c r="R72" s="30">
        <f t="shared" si="25"/>
        <v>9.999999999999995E-2</v>
      </c>
      <c r="S72" s="30">
        <f t="shared" si="25"/>
        <v>4.0399999999999971E-2</v>
      </c>
      <c r="T72" s="30">
        <f t="shared" si="25"/>
        <v>4.047058823529405E-2</v>
      </c>
      <c r="U72" s="555"/>
      <c r="V72" s="1" t="s">
        <v>169</v>
      </c>
    </row>
    <row r="73" spans="1:22" s="1" customFormat="1" ht="24.9" customHeight="1" x14ac:dyDescent="0.25">
      <c r="A73" s="1192"/>
      <c r="B73" s="1198" t="s">
        <v>28</v>
      </c>
      <c r="C73" s="14" t="s">
        <v>16</v>
      </c>
      <c r="D73" s="46">
        <v>0.10299999999999999</v>
      </c>
      <c r="E73" s="46"/>
      <c r="F73" s="46">
        <v>6.8000000000000005E-2</v>
      </c>
      <c r="G73" s="46">
        <v>0.13800000000000001</v>
      </c>
      <c r="H73" s="46">
        <v>0.23899999999999999</v>
      </c>
      <c r="I73" s="46">
        <v>0.10299999999999999</v>
      </c>
      <c r="J73" s="46">
        <v>0.85899999999999999</v>
      </c>
      <c r="K73" s="46">
        <v>1.6419999999999999</v>
      </c>
      <c r="L73" s="46">
        <v>5</v>
      </c>
      <c r="M73" s="46">
        <v>8.2110000000000003</v>
      </c>
      <c r="N73" s="46">
        <v>25</v>
      </c>
      <c r="O73" s="46"/>
      <c r="P73" s="46">
        <v>7.117</v>
      </c>
      <c r="Q73" s="46">
        <v>20</v>
      </c>
      <c r="R73" s="46">
        <v>7.9000000000000001E-2</v>
      </c>
      <c r="S73" s="46">
        <v>43.35</v>
      </c>
      <c r="T73" s="47"/>
      <c r="U73" s="2"/>
    </row>
    <row r="74" spans="1:22" ht="24.9" customHeight="1" x14ac:dyDescent="0.25">
      <c r="A74" s="1192"/>
      <c r="B74" s="1199"/>
      <c r="C74" s="15"/>
      <c r="D74" s="34">
        <f>+(D73-D$12)/D$12</f>
        <v>1.9801980198019681E-2</v>
      </c>
      <c r="E74" s="34"/>
      <c r="F74" s="34">
        <f t="shared" ref="F74:S74" si="26">+(F73-F$12)/F$12</f>
        <v>1.492537313432837E-2</v>
      </c>
      <c r="G74" s="34">
        <f t="shared" si="26"/>
        <v>2.222222222222224E-2</v>
      </c>
      <c r="H74" s="34">
        <f t="shared" si="26"/>
        <v>2.1367521367521267E-2</v>
      </c>
      <c r="I74" s="34">
        <f t="shared" si="26"/>
        <v>1.9801980198019681E-2</v>
      </c>
      <c r="J74" s="34">
        <f t="shared" si="26"/>
        <v>2.019002375296914E-2</v>
      </c>
      <c r="K74" s="34">
        <f t="shared" si="26"/>
        <v>1.9875776397515407E-2</v>
      </c>
      <c r="L74" s="34">
        <f t="shared" si="26"/>
        <v>0</v>
      </c>
      <c r="M74" s="34">
        <f t="shared" si="26"/>
        <v>1.9999999999999948E-2</v>
      </c>
      <c r="N74" s="34">
        <f t="shared" si="26"/>
        <v>0</v>
      </c>
      <c r="O74" s="34"/>
      <c r="P74" s="34">
        <f t="shared" si="26"/>
        <v>2.0065930915866372E-2</v>
      </c>
      <c r="Q74" s="34">
        <f t="shared" si="26"/>
        <v>0</v>
      </c>
      <c r="R74" s="34">
        <f t="shared" si="26"/>
        <v>2.5974025974025997E-2</v>
      </c>
      <c r="S74" s="34">
        <f t="shared" si="26"/>
        <v>2.0000000000000035E-2</v>
      </c>
      <c r="T74" s="34"/>
      <c r="U74" s="555"/>
      <c r="V74" s="1" t="s">
        <v>169</v>
      </c>
    </row>
    <row r="75" spans="1:22" s="7" customFormat="1" ht="12.75" customHeight="1" x14ac:dyDescent="0.25">
      <c r="A75" s="1192"/>
      <c r="B75" s="1200"/>
      <c r="C75" s="53" t="s">
        <v>17</v>
      </c>
      <c r="D75" s="9">
        <v>0.13389999999999999</v>
      </c>
      <c r="E75" s="9">
        <v>0</v>
      </c>
      <c r="F75" s="9">
        <v>8.8999999999999996E-2</v>
      </c>
      <c r="G75" s="9">
        <v>0.17940000000000003</v>
      </c>
      <c r="H75" s="9">
        <v>0.31069999999999998</v>
      </c>
      <c r="I75" s="9">
        <v>0.13389999999999999</v>
      </c>
      <c r="J75" s="9">
        <v>1.1167</v>
      </c>
      <c r="K75" s="4">
        <v>1.6419999999999999</v>
      </c>
      <c r="L75" s="4">
        <v>5</v>
      </c>
      <c r="M75" s="4">
        <v>8.2110000000000003</v>
      </c>
      <c r="N75" s="4">
        <v>25</v>
      </c>
      <c r="O75" s="4"/>
      <c r="P75" s="4">
        <v>7.117</v>
      </c>
      <c r="Q75" s="4">
        <v>20</v>
      </c>
      <c r="R75" s="9">
        <v>0.10199999999999999</v>
      </c>
      <c r="S75" s="4">
        <v>43.35</v>
      </c>
      <c r="T75" s="10"/>
      <c r="U75" s="8"/>
    </row>
    <row r="76" spans="1:22" ht="12.75" customHeight="1" thickBot="1" x14ac:dyDescent="0.3">
      <c r="A76" s="1192"/>
      <c r="B76" s="1201"/>
      <c r="C76" s="51" t="s">
        <v>22</v>
      </c>
      <c r="D76" s="11">
        <v>0.16400000000000001</v>
      </c>
      <c r="E76" s="11">
        <v>0</v>
      </c>
      <c r="F76" s="11">
        <v>0.10880000000000001</v>
      </c>
      <c r="G76" s="11">
        <v>0.22</v>
      </c>
      <c r="H76" s="11">
        <v>0.38300000000000001</v>
      </c>
      <c r="I76" s="11">
        <v>0.16400000000000001</v>
      </c>
      <c r="J76" s="11">
        <v>1.3744000000000001</v>
      </c>
      <c r="K76" s="5">
        <v>1.6419999999999999</v>
      </c>
      <c r="L76" s="5">
        <v>5</v>
      </c>
      <c r="M76" s="5">
        <v>8.2110000000000003</v>
      </c>
      <c r="N76" s="5">
        <v>25</v>
      </c>
      <c r="O76" s="5"/>
      <c r="P76" s="5">
        <v>7.117</v>
      </c>
      <c r="Q76" s="5">
        <v>20</v>
      </c>
      <c r="R76" s="11">
        <v>0.125</v>
      </c>
      <c r="S76" s="5">
        <v>43.35</v>
      </c>
      <c r="T76" s="6"/>
    </row>
    <row r="77" spans="1:22" s="1" customFormat="1" ht="24.9" customHeight="1" x14ac:dyDescent="0.25">
      <c r="A77" s="1192"/>
      <c r="B77" s="1188" t="s">
        <v>29</v>
      </c>
      <c r="C77" s="15" t="s">
        <v>16</v>
      </c>
      <c r="D77" s="48">
        <v>0.15</v>
      </c>
      <c r="E77" s="48">
        <v>3.0000000000000001E-3</v>
      </c>
      <c r="F77" s="48">
        <v>0.12</v>
      </c>
      <c r="G77" s="48">
        <v>0.22</v>
      </c>
      <c r="H77" s="48">
        <v>0.35</v>
      </c>
      <c r="I77" s="48">
        <v>0.2</v>
      </c>
      <c r="J77" s="48">
        <v>1</v>
      </c>
      <c r="K77" s="49">
        <v>2.2000000000000002</v>
      </c>
      <c r="L77" s="48">
        <v>3.7</v>
      </c>
      <c r="M77" s="48">
        <v>12</v>
      </c>
      <c r="N77" s="48">
        <v>20</v>
      </c>
      <c r="O77" s="48"/>
      <c r="P77" s="48">
        <v>9</v>
      </c>
      <c r="Q77" s="48">
        <v>13.8</v>
      </c>
      <c r="R77" s="48">
        <v>0.1</v>
      </c>
      <c r="S77" s="48">
        <v>20</v>
      </c>
      <c r="T77" s="50">
        <v>2</v>
      </c>
      <c r="U77" s="2"/>
    </row>
    <row r="78" spans="1:22" ht="24.9" customHeight="1" x14ac:dyDescent="0.25">
      <c r="A78" s="1192"/>
      <c r="B78" s="1190"/>
      <c r="C78" s="28"/>
      <c r="D78" s="35">
        <f t="shared" ref="D78:T78" si="27">+(D77-D$15)/D$15</f>
        <v>0</v>
      </c>
      <c r="E78" s="35">
        <f t="shared" si="27"/>
        <v>0</v>
      </c>
      <c r="F78" s="35">
        <f t="shared" si="27"/>
        <v>0</v>
      </c>
      <c r="G78" s="35">
        <f t="shared" si="27"/>
        <v>0</v>
      </c>
      <c r="H78" s="35">
        <f t="shared" si="27"/>
        <v>0</v>
      </c>
      <c r="I78" s="35">
        <f t="shared" si="27"/>
        <v>0</v>
      </c>
      <c r="J78" s="35">
        <f t="shared" si="27"/>
        <v>0</v>
      </c>
      <c r="K78" s="35">
        <f t="shared" si="27"/>
        <v>0</v>
      </c>
      <c r="L78" s="35">
        <f t="shared" si="27"/>
        <v>0</v>
      </c>
      <c r="M78" s="35">
        <f t="shared" si="27"/>
        <v>0</v>
      </c>
      <c r="N78" s="35">
        <f t="shared" si="27"/>
        <v>0</v>
      </c>
      <c r="O78" s="35"/>
      <c r="P78" s="35">
        <f t="shared" si="27"/>
        <v>0</v>
      </c>
      <c r="Q78" s="35">
        <f t="shared" si="27"/>
        <v>0</v>
      </c>
      <c r="R78" s="35">
        <f t="shared" si="27"/>
        <v>0</v>
      </c>
      <c r="S78" s="35">
        <f t="shared" si="27"/>
        <v>0</v>
      </c>
      <c r="T78" s="35">
        <f t="shared" si="27"/>
        <v>0</v>
      </c>
      <c r="U78" s="555"/>
    </row>
    <row r="79" spans="1:22" ht="12.75" customHeight="1" thickBot="1" x14ac:dyDescent="0.3">
      <c r="A79" s="1193"/>
      <c r="B79" s="1189"/>
      <c r="C79" s="51" t="s">
        <v>17</v>
      </c>
      <c r="D79" s="5">
        <v>0.15</v>
      </c>
      <c r="E79" s="5">
        <v>3.0000000000000001E-3</v>
      </c>
      <c r="F79" s="5">
        <v>0.15</v>
      </c>
      <c r="G79" s="5">
        <v>0.27500000000000002</v>
      </c>
      <c r="H79" s="5">
        <v>0.44</v>
      </c>
      <c r="I79" s="5">
        <v>0.2</v>
      </c>
      <c r="J79" s="5">
        <v>1.25</v>
      </c>
      <c r="K79" s="16">
        <v>2.2000000000000002</v>
      </c>
      <c r="L79" s="5">
        <v>3.7</v>
      </c>
      <c r="M79" s="5">
        <v>12</v>
      </c>
      <c r="N79" s="5">
        <v>20</v>
      </c>
      <c r="O79" s="5"/>
      <c r="P79" s="5">
        <v>9</v>
      </c>
      <c r="Q79" s="5">
        <v>13.8</v>
      </c>
      <c r="R79" s="5">
        <v>0.1</v>
      </c>
      <c r="S79" s="5">
        <v>20</v>
      </c>
      <c r="T79" s="6">
        <v>2</v>
      </c>
    </row>
    <row r="80" spans="1:22" ht="24.9" customHeight="1" thickBot="1" x14ac:dyDescent="0.3"/>
    <row r="81" spans="1:22" s="1" customFormat="1" ht="40.5" customHeight="1" x14ac:dyDescent="0.25">
      <c r="A81" s="36"/>
      <c r="B81" s="1194" t="s">
        <v>30</v>
      </c>
      <c r="C81" s="1195"/>
      <c r="D81" s="19" t="s">
        <v>0</v>
      </c>
      <c r="E81" s="19" t="s">
        <v>25</v>
      </c>
      <c r="F81" s="19" t="s">
        <v>1</v>
      </c>
      <c r="G81" s="19" t="s">
        <v>2</v>
      </c>
      <c r="H81" s="19" t="s">
        <v>13</v>
      </c>
      <c r="I81" s="19" t="s">
        <v>14</v>
      </c>
      <c r="J81" s="19" t="s">
        <v>10</v>
      </c>
      <c r="K81" s="19" t="s">
        <v>3</v>
      </c>
      <c r="L81" s="19" t="s">
        <v>4</v>
      </c>
      <c r="M81" s="19" t="s">
        <v>19</v>
      </c>
      <c r="N81" s="19" t="s">
        <v>20</v>
      </c>
      <c r="O81" s="19"/>
      <c r="P81" s="19" t="s">
        <v>5</v>
      </c>
      <c r="Q81" s="19" t="s">
        <v>6</v>
      </c>
      <c r="R81" s="19" t="s">
        <v>18</v>
      </c>
      <c r="S81" s="19" t="s">
        <v>7</v>
      </c>
      <c r="T81" s="20" t="s">
        <v>8</v>
      </c>
      <c r="U81" s="456"/>
    </row>
    <row r="82" spans="1:22" s="1" customFormat="1" ht="24.9" customHeight="1" thickBot="1" x14ac:dyDescent="0.3">
      <c r="A82" s="37"/>
      <c r="B82" s="1196"/>
      <c r="C82" s="1197"/>
      <c r="D82" s="22" t="s">
        <v>9</v>
      </c>
      <c r="E82" s="22"/>
      <c r="F82" s="22" t="s">
        <v>9</v>
      </c>
      <c r="G82" s="22" t="s">
        <v>9</v>
      </c>
      <c r="H82" s="22" t="s">
        <v>9</v>
      </c>
      <c r="I82" s="22" t="s">
        <v>9</v>
      </c>
      <c r="J82" s="22" t="s">
        <v>9</v>
      </c>
      <c r="K82" s="22" t="s">
        <v>9</v>
      </c>
      <c r="L82" s="22" t="s">
        <v>9</v>
      </c>
      <c r="M82" s="22" t="s">
        <v>11</v>
      </c>
      <c r="N82" s="22" t="s">
        <v>11</v>
      </c>
      <c r="O82" s="22"/>
      <c r="P82" s="22" t="s">
        <v>9</v>
      </c>
      <c r="Q82" s="22" t="s">
        <v>9</v>
      </c>
      <c r="R82" s="22" t="s">
        <v>21</v>
      </c>
      <c r="S82" s="22" t="s">
        <v>12</v>
      </c>
      <c r="T82" s="23" t="s">
        <v>12</v>
      </c>
      <c r="U82" s="456"/>
    </row>
    <row r="83" spans="1:22" s="1" customFormat="1" ht="24.9" customHeight="1" x14ac:dyDescent="0.25">
      <c r="A83" s="1192">
        <v>2012</v>
      </c>
      <c r="B83" s="1198" t="s">
        <v>23</v>
      </c>
      <c r="C83" s="1202" t="s">
        <v>16</v>
      </c>
      <c r="D83" s="31">
        <v>0.11799999999999999</v>
      </c>
      <c r="E83" s="31"/>
      <c r="F83" s="31">
        <v>0.1</v>
      </c>
      <c r="G83" s="31">
        <v>0.2</v>
      </c>
      <c r="H83" s="31">
        <v>0.58699999999999997</v>
      </c>
      <c r="I83" s="33">
        <v>0.14299999999999999</v>
      </c>
      <c r="J83" s="31">
        <v>0.35699999999999998</v>
      </c>
      <c r="K83" s="31">
        <v>2.25</v>
      </c>
      <c r="L83" s="31">
        <v>5</v>
      </c>
      <c r="M83" s="31">
        <v>9.92</v>
      </c>
      <c r="N83" s="31">
        <v>25</v>
      </c>
      <c r="O83" s="31"/>
      <c r="P83" s="31">
        <v>2.36</v>
      </c>
      <c r="Q83" s="31">
        <v>11.8</v>
      </c>
      <c r="R83" s="31">
        <v>0</v>
      </c>
      <c r="S83" s="31">
        <v>44.1</v>
      </c>
      <c r="T83" s="32">
        <v>3</v>
      </c>
      <c r="U83" s="554"/>
    </row>
    <row r="84" spans="1:22" s="1" customFormat="1" ht="16.5" customHeight="1" x14ac:dyDescent="0.25">
      <c r="A84" s="1192"/>
      <c r="B84" s="1199"/>
      <c r="C84" s="1203"/>
      <c r="D84" s="24">
        <f>+(D83-D$5)/D$5</f>
        <v>0</v>
      </c>
      <c r="E84" s="24"/>
      <c r="F84" s="24">
        <f t="shared" ref="F84:Q84" si="28">+(F83-F$5)/F$5</f>
        <v>0</v>
      </c>
      <c r="G84" s="24">
        <f t="shared" si="28"/>
        <v>0</v>
      </c>
      <c r="H84" s="24">
        <f t="shared" si="28"/>
        <v>0.34633027522935772</v>
      </c>
      <c r="I84" s="24">
        <f t="shared" si="28"/>
        <v>1.0724637681159417</v>
      </c>
      <c r="J84" s="24">
        <f t="shared" si="28"/>
        <v>0.31249999999999983</v>
      </c>
      <c r="K84" s="24">
        <f t="shared" si="28"/>
        <v>0</v>
      </c>
      <c r="L84" s="24">
        <f t="shared" si="28"/>
        <v>0</v>
      </c>
      <c r="M84" s="24">
        <f t="shared" si="28"/>
        <v>0.23229813664596261</v>
      </c>
      <c r="N84" s="24">
        <f t="shared" si="28"/>
        <v>0</v>
      </c>
      <c r="O84" s="24"/>
      <c r="P84" s="24">
        <f t="shared" si="28"/>
        <v>0</v>
      </c>
      <c r="Q84" s="24">
        <f t="shared" si="28"/>
        <v>0</v>
      </c>
      <c r="R84" s="24"/>
      <c r="S84" s="24">
        <f>+(S83-S$5)/S$5</f>
        <v>1.075294117647059</v>
      </c>
      <c r="T84" s="24">
        <f>+(T83-T$5)/T$5</f>
        <v>0.87499999999999989</v>
      </c>
      <c r="U84" s="555"/>
      <c r="V84" s="1" t="s">
        <v>169</v>
      </c>
    </row>
    <row r="85" spans="1:22" s="8" customFormat="1" x14ac:dyDescent="0.25">
      <c r="A85" s="1192"/>
      <c r="B85" s="1200"/>
      <c r="C85" s="53" t="s">
        <v>17</v>
      </c>
      <c r="D85" s="9">
        <f>+D83*1.16</f>
        <v>0.13687999999999997</v>
      </c>
      <c r="E85" s="9"/>
      <c r="F85" s="9">
        <f t="shared" ref="F85:T85" si="29">+F83*1.16</f>
        <v>0.11599999999999999</v>
      </c>
      <c r="G85" s="9">
        <f t="shared" si="29"/>
        <v>0.23199999999999998</v>
      </c>
      <c r="H85" s="9">
        <f t="shared" si="29"/>
        <v>0.68091999999999986</v>
      </c>
      <c r="I85" s="9">
        <f t="shared" si="29"/>
        <v>0.16587999999999997</v>
      </c>
      <c r="J85" s="9">
        <f t="shared" si="29"/>
        <v>0.41411999999999993</v>
      </c>
      <c r="K85" s="9">
        <f t="shared" si="29"/>
        <v>2.61</v>
      </c>
      <c r="L85" s="9">
        <f t="shared" si="29"/>
        <v>5.8</v>
      </c>
      <c r="M85" s="9">
        <f t="shared" si="29"/>
        <v>11.507199999999999</v>
      </c>
      <c r="N85" s="9">
        <f t="shared" si="29"/>
        <v>28.999999999999996</v>
      </c>
      <c r="O85" s="9"/>
      <c r="P85" s="9">
        <f t="shared" si="29"/>
        <v>2.7375999999999996</v>
      </c>
      <c r="Q85" s="9">
        <f t="shared" si="29"/>
        <v>13.688000000000001</v>
      </c>
      <c r="R85" s="9">
        <f t="shared" si="29"/>
        <v>0</v>
      </c>
      <c r="S85" s="9">
        <f t="shared" si="29"/>
        <v>51.155999999999999</v>
      </c>
      <c r="T85" s="10">
        <f t="shared" si="29"/>
        <v>3.4799999999999995</v>
      </c>
    </row>
    <row r="86" spans="1:22" s="8" customFormat="1" ht="13.8" thickBot="1" x14ac:dyDescent="0.3">
      <c r="A86" s="1192"/>
      <c r="B86" s="1201"/>
      <c r="C86" s="51" t="s">
        <v>22</v>
      </c>
      <c r="D86" s="11">
        <f>+D83*1.33</f>
        <v>0.15694</v>
      </c>
      <c r="E86" s="11"/>
      <c r="F86" s="11">
        <f t="shared" ref="F86:T86" si="30">+F83*1.33</f>
        <v>0.13300000000000001</v>
      </c>
      <c r="G86" s="11">
        <f t="shared" si="30"/>
        <v>0.26600000000000001</v>
      </c>
      <c r="H86" s="11">
        <f t="shared" si="30"/>
        <v>0.78071000000000002</v>
      </c>
      <c r="I86" s="11">
        <f t="shared" si="30"/>
        <v>0.19019</v>
      </c>
      <c r="J86" s="11">
        <f t="shared" si="30"/>
        <v>0.47481000000000001</v>
      </c>
      <c r="K86" s="11">
        <f t="shared" si="30"/>
        <v>2.9925000000000002</v>
      </c>
      <c r="L86" s="11">
        <f t="shared" si="30"/>
        <v>6.65</v>
      </c>
      <c r="M86" s="11">
        <f t="shared" si="30"/>
        <v>13.1936</v>
      </c>
      <c r="N86" s="11">
        <f t="shared" si="30"/>
        <v>33.25</v>
      </c>
      <c r="O86" s="11"/>
      <c r="P86" s="11">
        <f t="shared" si="30"/>
        <v>3.1387999999999998</v>
      </c>
      <c r="Q86" s="11">
        <f t="shared" si="30"/>
        <v>15.694000000000003</v>
      </c>
      <c r="R86" s="11">
        <f t="shared" si="30"/>
        <v>0</v>
      </c>
      <c r="S86" s="11">
        <f t="shared" si="30"/>
        <v>58.653000000000006</v>
      </c>
      <c r="T86" s="12">
        <f t="shared" si="30"/>
        <v>3.99</v>
      </c>
    </row>
    <row r="87" spans="1:22" s="1" customFormat="1" ht="24.9" customHeight="1" x14ac:dyDescent="0.25">
      <c r="A87" s="1192"/>
      <c r="B87" s="1188" t="s">
        <v>24</v>
      </c>
      <c r="C87" s="95"/>
      <c r="D87" s="97">
        <v>0.17699999999999999</v>
      </c>
      <c r="E87" s="97"/>
      <c r="F87" s="97">
        <v>7.2999999999999995E-2</v>
      </c>
      <c r="G87" s="97">
        <v>0.14599999999999999</v>
      </c>
      <c r="H87" s="97">
        <v>0.29099999999999998</v>
      </c>
      <c r="I87" s="97"/>
      <c r="J87" s="97">
        <v>0.39400000000000002</v>
      </c>
      <c r="K87" s="97">
        <v>0.68500000000000005</v>
      </c>
      <c r="L87" s="97"/>
      <c r="M87" s="97">
        <v>6.5590000000000002</v>
      </c>
      <c r="N87" s="97"/>
      <c r="O87" s="97"/>
      <c r="P87" s="97">
        <v>0.83099999999999996</v>
      </c>
      <c r="Q87" s="97"/>
      <c r="R87" s="97"/>
      <c r="S87" s="97">
        <v>12.39</v>
      </c>
      <c r="T87" s="98">
        <v>1.2390000000000001</v>
      </c>
      <c r="U87" s="2"/>
    </row>
    <row r="88" spans="1:22" ht="24.9" customHeight="1" thickBot="1" x14ac:dyDescent="0.3">
      <c r="A88" s="1192"/>
      <c r="B88" s="1189"/>
      <c r="C88" s="99"/>
      <c r="D88" s="25">
        <f>+(D87-D$8)/D$8</f>
        <v>1.2124999999999999</v>
      </c>
      <c r="E88" s="25"/>
      <c r="F88" s="25">
        <f>+(F87-F$8)/F$8</f>
        <v>0.45999999999999985</v>
      </c>
      <c r="G88" s="25">
        <f>+(G87-G$8)/G$8</f>
        <v>0.45999999999999985</v>
      </c>
      <c r="H88" s="25">
        <f>+(H87-H$8)/H$8</f>
        <v>0.45499999999999985</v>
      </c>
      <c r="I88" s="25"/>
      <c r="J88" s="25">
        <f>+(J87-J$8)/J$8</f>
        <v>0.4592592592592592</v>
      </c>
      <c r="K88" s="25">
        <f>+(K87-K$8)/K$8</f>
        <v>0.45744680851063851</v>
      </c>
      <c r="L88" s="25"/>
      <c r="M88" s="25">
        <f>+(M87-M$8)/M$8</f>
        <v>0.4575555555555556</v>
      </c>
      <c r="N88" s="25"/>
      <c r="O88" s="25"/>
      <c r="P88" s="25">
        <f>+(P87-P$8)/P$8</f>
        <v>0.4578947368421053</v>
      </c>
      <c r="Q88" s="25"/>
      <c r="R88" s="25"/>
      <c r="S88" s="25">
        <f>+(S87-S$8)/S$8</f>
        <v>0.45764705882352946</v>
      </c>
      <c r="T88" s="25">
        <f>+(T87-T$8)/T$8</f>
        <v>0.45764705882352957</v>
      </c>
      <c r="U88" s="555"/>
      <c r="V88" s="1" t="s">
        <v>169</v>
      </c>
    </row>
    <row r="89" spans="1:22" s="1" customFormat="1" ht="24.9" customHeight="1" x14ac:dyDescent="0.25">
      <c r="A89" s="1192"/>
      <c r="B89" s="1198" t="s">
        <v>27</v>
      </c>
      <c r="C89" s="14" t="s">
        <v>16</v>
      </c>
      <c r="D89" s="42">
        <v>0.15</v>
      </c>
      <c r="E89" s="42">
        <v>0.1</v>
      </c>
      <c r="F89" s="42">
        <v>0.1</v>
      </c>
      <c r="G89" s="42">
        <v>0.2</v>
      </c>
      <c r="H89" s="42">
        <v>0.35</v>
      </c>
      <c r="I89" s="42"/>
      <c r="J89" s="42">
        <v>1</v>
      </c>
      <c r="K89" s="42">
        <v>1.5</v>
      </c>
      <c r="L89" s="42">
        <v>5</v>
      </c>
      <c r="M89" s="42">
        <v>15</v>
      </c>
      <c r="N89" s="42">
        <v>25</v>
      </c>
      <c r="O89" s="42"/>
      <c r="P89" s="42"/>
      <c r="Q89" s="42"/>
      <c r="R89" s="42"/>
      <c r="S89" s="42">
        <v>60</v>
      </c>
      <c r="T89" s="43">
        <v>8.5</v>
      </c>
      <c r="U89" s="2"/>
    </row>
    <row r="90" spans="1:22" ht="24.9" customHeight="1" x14ac:dyDescent="0.25">
      <c r="A90" s="1192"/>
      <c r="B90" s="1190"/>
      <c r="C90" s="28"/>
      <c r="D90" s="38">
        <f>+(D89-D$9)/D$9</f>
        <v>8.6956521739130307E-2</v>
      </c>
      <c r="E90" s="38">
        <f>+(E89-E$9)/E$9</f>
        <v>0</v>
      </c>
      <c r="F90" s="38">
        <f>+(F89-F$9)/F$9</f>
        <v>8.6956521739130516E-2</v>
      </c>
      <c r="G90" s="38">
        <f>+(G89-G$9)/G$9</f>
        <v>8.6956521739130516E-2</v>
      </c>
      <c r="H90" s="38">
        <f>+(H89-H$9)/H$9</f>
        <v>8.3591331269349742E-2</v>
      </c>
      <c r="I90" s="38"/>
      <c r="J90" s="38">
        <f>+(J89-J$9)/J$9</f>
        <v>8.22510822510822E-2</v>
      </c>
      <c r="K90" s="38">
        <f>+(K89-K$9)/K$9</f>
        <v>8.2251082251082325E-2</v>
      </c>
      <c r="L90" s="38">
        <f>+(L89-L$9)/L$9</f>
        <v>0</v>
      </c>
      <c r="M90" s="38">
        <f>+(M89-M$9)/M$9</f>
        <v>0</v>
      </c>
      <c r="N90" s="38">
        <f>+(N89-N$9)/N$9</f>
        <v>0</v>
      </c>
      <c r="O90" s="38"/>
      <c r="P90" s="38"/>
      <c r="Q90" s="38"/>
      <c r="R90" s="38"/>
      <c r="S90" s="38">
        <f>+(S89-S$9)/S$9</f>
        <v>8.2446328702868485E-2</v>
      </c>
      <c r="T90" s="38">
        <f>+(T89-T$9)/T$9</f>
        <v>0</v>
      </c>
      <c r="U90" s="555"/>
      <c r="V90" s="1" t="s">
        <v>169</v>
      </c>
    </row>
    <row r="91" spans="1:22" ht="15" customHeight="1" thickBot="1" x14ac:dyDescent="0.3">
      <c r="A91" s="1192"/>
      <c r="B91" s="1201"/>
      <c r="C91" s="51" t="s">
        <v>17</v>
      </c>
      <c r="D91" s="11">
        <f>+D89*1.3</f>
        <v>0.19500000000000001</v>
      </c>
      <c r="E91" s="5">
        <v>0.1</v>
      </c>
      <c r="F91" s="11">
        <f>+F89*1.3</f>
        <v>0.13</v>
      </c>
      <c r="G91" s="11">
        <f>+G89*1.3</f>
        <v>0.26</v>
      </c>
      <c r="H91" s="11">
        <f>+H89*1.3</f>
        <v>0.45499999999999996</v>
      </c>
      <c r="I91" s="11">
        <f>+I89*1.3</f>
        <v>0</v>
      </c>
      <c r="J91" s="11">
        <f>+J89*1.3</f>
        <v>1.3</v>
      </c>
      <c r="K91" s="29">
        <f>+K89</f>
        <v>1.5</v>
      </c>
      <c r="L91" s="5">
        <v>5</v>
      </c>
      <c r="M91" s="5">
        <v>15</v>
      </c>
      <c r="N91" s="5">
        <v>25</v>
      </c>
      <c r="O91" s="5"/>
      <c r="P91" s="5"/>
      <c r="Q91" s="5"/>
      <c r="R91" s="5"/>
      <c r="S91" s="5">
        <f>+S89</f>
        <v>60</v>
      </c>
      <c r="T91" s="6">
        <v>8.5</v>
      </c>
    </row>
    <row r="92" spans="1:22" s="1" customFormat="1" ht="24.9" customHeight="1" x14ac:dyDescent="0.25">
      <c r="A92" s="1192"/>
      <c r="B92" s="1188" t="s">
        <v>26</v>
      </c>
      <c r="C92" s="95"/>
      <c r="D92" s="92">
        <v>0.159</v>
      </c>
      <c r="E92" s="92">
        <v>5.2999999999999999E-2</v>
      </c>
      <c r="F92" s="92">
        <v>0.106</v>
      </c>
      <c r="G92" s="92">
        <v>0.21199999999999999</v>
      </c>
      <c r="H92" s="92">
        <v>0.371</v>
      </c>
      <c r="I92" s="92"/>
      <c r="J92" s="92">
        <v>1.0609999999999999</v>
      </c>
      <c r="K92" s="92">
        <v>2.2999999999999998</v>
      </c>
      <c r="L92" s="92">
        <v>3.83</v>
      </c>
      <c r="M92" s="92">
        <v>10</v>
      </c>
      <c r="N92" s="92">
        <v>16.670000000000002</v>
      </c>
      <c r="O92" s="92"/>
      <c r="P92" s="92">
        <v>8</v>
      </c>
      <c r="Q92" s="92">
        <v>12.31</v>
      </c>
      <c r="R92" s="92">
        <v>0.115</v>
      </c>
      <c r="S92" s="92">
        <v>45.100999999999999</v>
      </c>
      <c r="T92" s="93">
        <v>4.51</v>
      </c>
      <c r="U92" s="2"/>
    </row>
    <row r="93" spans="1:22" ht="24.9" customHeight="1" thickBot="1" x14ac:dyDescent="0.3">
      <c r="A93" s="1192"/>
      <c r="B93" s="1189"/>
      <c r="C93" s="96"/>
      <c r="D93" s="30">
        <f>+(D92-D$11)/D$11</f>
        <v>6.0000000000000053E-2</v>
      </c>
      <c r="E93" s="30">
        <f>+(E92-E$11)/E$11</f>
        <v>5.9999999999999915E-2</v>
      </c>
      <c r="F93" s="30">
        <f>+(F92-F$11)/F$11</f>
        <v>5.9999999999999915E-2</v>
      </c>
      <c r="G93" s="30">
        <f>+(G92-G$11)/G$11</f>
        <v>5.9999999999999915E-2</v>
      </c>
      <c r="H93" s="30">
        <f>+(H92-H$11)/H$11</f>
        <v>6.000000000000006E-2</v>
      </c>
      <c r="I93" s="30"/>
      <c r="J93" s="30">
        <f t="shared" ref="J93:T93" si="31">+(J92-J$11)/J$11</f>
        <v>6.0999999999999943E-2</v>
      </c>
      <c r="K93" s="30">
        <f t="shared" si="31"/>
        <v>0.14999999999999991</v>
      </c>
      <c r="L93" s="30">
        <f t="shared" si="31"/>
        <v>0.14670658682634738</v>
      </c>
      <c r="M93" s="30">
        <f t="shared" si="31"/>
        <v>0.17647058823529413</v>
      </c>
      <c r="N93" s="30">
        <f t="shared" si="31"/>
        <v>0.17642907551164444</v>
      </c>
      <c r="O93" s="30"/>
      <c r="P93" s="30">
        <f t="shared" si="31"/>
        <v>0.6</v>
      </c>
      <c r="Q93" s="30">
        <f t="shared" si="31"/>
        <v>0.60078023407022108</v>
      </c>
      <c r="R93" s="30">
        <f t="shared" si="31"/>
        <v>0.15</v>
      </c>
      <c r="S93" s="30">
        <f t="shared" si="31"/>
        <v>6.1199999999999977E-2</v>
      </c>
      <c r="T93" s="30">
        <f t="shared" si="31"/>
        <v>6.1176470588235242E-2</v>
      </c>
      <c r="U93" s="555"/>
      <c r="V93" s="1" t="s">
        <v>169</v>
      </c>
    </row>
    <row r="94" spans="1:22" s="1" customFormat="1" ht="24.9" customHeight="1" x14ac:dyDescent="0.25">
      <c r="A94" s="1192"/>
      <c r="B94" s="1198" t="s">
        <v>28</v>
      </c>
      <c r="C94" s="14" t="s">
        <v>16</v>
      </c>
      <c r="D94" s="46">
        <v>0.10299999999999999</v>
      </c>
      <c r="E94" s="46"/>
      <c r="F94" s="46">
        <v>6.8000000000000005E-2</v>
      </c>
      <c r="G94" s="46">
        <v>0.13800000000000001</v>
      </c>
      <c r="H94" s="46">
        <v>0.23899999999999999</v>
      </c>
      <c r="I94" s="46">
        <v>0.10299999999999999</v>
      </c>
      <c r="J94" s="46">
        <v>0.85899999999999999</v>
      </c>
      <c r="K94" s="46">
        <v>1.6419999999999999</v>
      </c>
      <c r="L94" s="46">
        <v>5</v>
      </c>
      <c r="M94" s="46">
        <v>8.2110000000000003</v>
      </c>
      <c r="N94" s="46">
        <v>25</v>
      </c>
      <c r="O94" s="46"/>
      <c r="P94" s="46">
        <v>7.117</v>
      </c>
      <c r="Q94" s="46">
        <v>20</v>
      </c>
      <c r="R94" s="46">
        <v>7.9000000000000001E-2</v>
      </c>
      <c r="S94" s="46">
        <v>43.35</v>
      </c>
      <c r="T94" s="47"/>
      <c r="U94" s="2"/>
    </row>
    <row r="95" spans="1:22" ht="24.9" customHeight="1" x14ac:dyDescent="0.25">
      <c r="A95" s="1192"/>
      <c r="B95" s="1199"/>
      <c r="C95" s="15"/>
      <c r="D95" s="34">
        <f>+(D94-D$12)/D$12</f>
        <v>1.9801980198019681E-2</v>
      </c>
      <c r="E95" s="34"/>
      <c r="F95" s="34">
        <f t="shared" ref="F95:S95" si="32">+(F94-F$12)/F$12</f>
        <v>1.492537313432837E-2</v>
      </c>
      <c r="G95" s="34">
        <f t="shared" si="32"/>
        <v>2.222222222222224E-2</v>
      </c>
      <c r="H95" s="34">
        <f t="shared" si="32"/>
        <v>2.1367521367521267E-2</v>
      </c>
      <c r="I95" s="34">
        <f t="shared" si="32"/>
        <v>1.9801980198019681E-2</v>
      </c>
      <c r="J95" s="34">
        <f t="shared" si="32"/>
        <v>2.019002375296914E-2</v>
      </c>
      <c r="K95" s="34">
        <f t="shared" si="32"/>
        <v>1.9875776397515407E-2</v>
      </c>
      <c r="L95" s="34">
        <f t="shared" si="32"/>
        <v>0</v>
      </c>
      <c r="M95" s="34">
        <f t="shared" si="32"/>
        <v>1.9999999999999948E-2</v>
      </c>
      <c r="N95" s="34">
        <f t="shared" si="32"/>
        <v>0</v>
      </c>
      <c r="O95" s="34"/>
      <c r="P95" s="34">
        <f t="shared" si="32"/>
        <v>2.0065930915866372E-2</v>
      </c>
      <c r="Q95" s="34">
        <f t="shared" si="32"/>
        <v>0</v>
      </c>
      <c r="R95" s="34">
        <f t="shared" si="32"/>
        <v>2.5974025974025997E-2</v>
      </c>
      <c r="S95" s="34">
        <f t="shared" si="32"/>
        <v>2.0000000000000035E-2</v>
      </c>
      <c r="T95" s="34"/>
      <c r="U95" s="555"/>
      <c r="V95" s="1" t="s">
        <v>169</v>
      </c>
    </row>
    <row r="96" spans="1:22" s="7" customFormat="1" ht="12.75" customHeight="1" x14ac:dyDescent="0.25">
      <c r="A96" s="1192"/>
      <c r="B96" s="1200"/>
      <c r="C96" s="53" t="s">
        <v>17</v>
      </c>
      <c r="D96" s="9">
        <v>0.13389999999999999</v>
      </c>
      <c r="E96" s="9">
        <v>0</v>
      </c>
      <c r="F96" s="9">
        <v>8.8999999999999996E-2</v>
      </c>
      <c r="G96" s="9">
        <v>0.17940000000000003</v>
      </c>
      <c r="H96" s="9">
        <v>0.31069999999999998</v>
      </c>
      <c r="I96" s="9">
        <v>0.13389999999999999</v>
      </c>
      <c r="J96" s="9">
        <v>1.1167</v>
      </c>
      <c r="K96" s="4">
        <v>1.6419999999999999</v>
      </c>
      <c r="L96" s="4">
        <v>5</v>
      </c>
      <c r="M96" s="4">
        <v>8.2110000000000003</v>
      </c>
      <c r="N96" s="4">
        <v>25</v>
      </c>
      <c r="O96" s="4"/>
      <c r="P96" s="4">
        <v>7.117</v>
      </c>
      <c r="Q96" s="4">
        <v>20</v>
      </c>
      <c r="R96" s="9">
        <v>0.10199999999999999</v>
      </c>
      <c r="S96" s="4">
        <v>43.35</v>
      </c>
      <c r="T96" s="10"/>
      <c r="U96" s="8"/>
    </row>
    <row r="97" spans="1:23" ht="12.75" customHeight="1" thickBot="1" x14ac:dyDescent="0.3">
      <c r="A97" s="1192"/>
      <c r="B97" s="1201"/>
      <c r="C97" s="51" t="s">
        <v>22</v>
      </c>
      <c r="D97" s="11">
        <v>0.16400000000000001</v>
      </c>
      <c r="E97" s="11">
        <v>0</v>
      </c>
      <c r="F97" s="11">
        <v>0.10880000000000001</v>
      </c>
      <c r="G97" s="11">
        <v>0.22</v>
      </c>
      <c r="H97" s="11">
        <v>0.38300000000000001</v>
      </c>
      <c r="I97" s="11">
        <v>0.16400000000000001</v>
      </c>
      <c r="J97" s="11">
        <v>1.3744000000000001</v>
      </c>
      <c r="K97" s="5">
        <v>1.6419999999999999</v>
      </c>
      <c r="L97" s="5">
        <v>5</v>
      </c>
      <c r="M97" s="5">
        <v>8.2110000000000003</v>
      </c>
      <c r="N97" s="5">
        <v>25</v>
      </c>
      <c r="O97" s="5"/>
      <c r="P97" s="5">
        <v>7.117</v>
      </c>
      <c r="Q97" s="5">
        <v>20</v>
      </c>
      <c r="R97" s="11">
        <v>0.125</v>
      </c>
      <c r="S97" s="5">
        <v>43.35</v>
      </c>
      <c r="T97" s="6"/>
    </row>
    <row r="98" spans="1:23" s="1" customFormat="1" ht="24.9" customHeight="1" x14ac:dyDescent="0.25">
      <c r="A98" s="1192"/>
      <c r="B98" s="1188" t="s">
        <v>29</v>
      </c>
      <c r="C98" s="15" t="s">
        <v>16</v>
      </c>
      <c r="D98" s="48">
        <v>0.15</v>
      </c>
      <c r="E98" s="48">
        <v>3.0000000000000001E-3</v>
      </c>
      <c r="F98" s="48">
        <v>0.12</v>
      </c>
      <c r="G98" s="48">
        <v>0.22</v>
      </c>
      <c r="H98" s="48">
        <v>0.35</v>
      </c>
      <c r="I98" s="48">
        <v>0.2</v>
      </c>
      <c r="J98" s="48">
        <v>1</v>
      </c>
      <c r="K98" s="49">
        <v>2.2000000000000002</v>
      </c>
      <c r="L98" s="48">
        <v>3.7</v>
      </c>
      <c r="M98" s="48">
        <v>12</v>
      </c>
      <c r="N98" s="48">
        <v>20</v>
      </c>
      <c r="O98" s="48"/>
      <c r="P98" s="48">
        <v>9</v>
      </c>
      <c r="Q98" s="48">
        <v>13.8</v>
      </c>
      <c r="R98" s="48">
        <v>0.1</v>
      </c>
      <c r="S98" s="48">
        <v>20</v>
      </c>
      <c r="T98" s="50">
        <v>2</v>
      </c>
      <c r="U98" s="2"/>
    </row>
    <row r="99" spans="1:23" ht="24.9" customHeight="1" x14ac:dyDescent="0.25">
      <c r="A99" s="1192"/>
      <c r="B99" s="1190"/>
      <c r="C99" s="28"/>
      <c r="D99" s="35">
        <f t="shared" ref="D99:T99" si="33">+(D98-D$15)/D$15</f>
        <v>0</v>
      </c>
      <c r="E99" s="35">
        <f t="shared" si="33"/>
        <v>0</v>
      </c>
      <c r="F99" s="35">
        <f t="shared" si="33"/>
        <v>0</v>
      </c>
      <c r="G99" s="35">
        <f t="shared" si="33"/>
        <v>0</v>
      </c>
      <c r="H99" s="35">
        <f t="shared" si="33"/>
        <v>0</v>
      </c>
      <c r="I99" s="35">
        <f t="shared" si="33"/>
        <v>0</v>
      </c>
      <c r="J99" s="35">
        <f t="shared" si="33"/>
        <v>0</v>
      </c>
      <c r="K99" s="35">
        <f t="shared" si="33"/>
        <v>0</v>
      </c>
      <c r="L99" s="35">
        <f t="shared" si="33"/>
        <v>0</v>
      </c>
      <c r="M99" s="35">
        <f t="shared" si="33"/>
        <v>0</v>
      </c>
      <c r="N99" s="35">
        <f t="shared" si="33"/>
        <v>0</v>
      </c>
      <c r="O99" s="35"/>
      <c r="P99" s="35">
        <f t="shared" si="33"/>
        <v>0</v>
      </c>
      <c r="Q99" s="35">
        <f t="shared" si="33"/>
        <v>0</v>
      </c>
      <c r="R99" s="35">
        <f t="shared" si="33"/>
        <v>0</v>
      </c>
      <c r="S99" s="35">
        <f t="shared" si="33"/>
        <v>0</v>
      </c>
      <c r="T99" s="35">
        <f t="shared" si="33"/>
        <v>0</v>
      </c>
      <c r="U99" s="555"/>
      <c r="V99" s="1" t="s">
        <v>169</v>
      </c>
    </row>
    <row r="100" spans="1:23" ht="12.75" customHeight="1" thickBot="1" x14ac:dyDescent="0.3">
      <c r="A100" s="1193"/>
      <c r="B100" s="1189"/>
      <c r="C100" s="51" t="s">
        <v>17</v>
      </c>
      <c r="D100" s="5">
        <v>0.15</v>
      </c>
      <c r="E100" s="5">
        <v>3.0000000000000001E-3</v>
      </c>
      <c r="F100" s="5">
        <v>0.15</v>
      </c>
      <c r="G100" s="5">
        <v>0.27500000000000002</v>
      </c>
      <c r="H100" s="5">
        <v>0.44</v>
      </c>
      <c r="I100" s="5">
        <v>0.2</v>
      </c>
      <c r="J100" s="5">
        <v>1.25</v>
      </c>
      <c r="K100" s="16">
        <v>2.2000000000000002</v>
      </c>
      <c r="L100" s="5">
        <v>3.7</v>
      </c>
      <c r="M100" s="5">
        <v>12</v>
      </c>
      <c r="N100" s="5">
        <v>20</v>
      </c>
      <c r="O100" s="5"/>
      <c r="P100" s="5">
        <v>9</v>
      </c>
      <c r="Q100" s="5">
        <v>13.8</v>
      </c>
      <c r="R100" s="5">
        <v>0.1</v>
      </c>
      <c r="S100" s="5">
        <v>20</v>
      </c>
      <c r="T100" s="6">
        <v>2</v>
      </c>
    </row>
    <row r="101" spans="1:23" ht="24.9" customHeight="1" thickBot="1" x14ac:dyDescent="0.3"/>
    <row r="102" spans="1:23" s="1" customFormat="1" ht="90" customHeight="1" x14ac:dyDescent="0.25">
      <c r="A102" s="36"/>
      <c r="B102" s="1194" t="s">
        <v>30</v>
      </c>
      <c r="C102" s="1195"/>
      <c r="D102" s="19" t="s">
        <v>0</v>
      </c>
      <c r="E102" s="19" t="s">
        <v>25</v>
      </c>
      <c r="F102" s="19" t="s">
        <v>1</v>
      </c>
      <c r="G102" s="19" t="s">
        <v>2</v>
      </c>
      <c r="H102" s="19" t="s">
        <v>13</v>
      </c>
      <c r="I102" s="19" t="s">
        <v>14</v>
      </c>
      <c r="J102" s="19" t="s">
        <v>10</v>
      </c>
      <c r="K102" s="19" t="s">
        <v>3</v>
      </c>
      <c r="L102" s="19" t="s">
        <v>4</v>
      </c>
      <c r="M102" s="19" t="s">
        <v>19</v>
      </c>
      <c r="N102" s="19" t="s">
        <v>20</v>
      </c>
      <c r="O102" s="19" t="s">
        <v>152</v>
      </c>
      <c r="P102" s="19" t="s">
        <v>5</v>
      </c>
      <c r="Q102" s="19" t="s">
        <v>6</v>
      </c>
      <c r="R102" s="19" t="s">
        <v>18</v>
      </c>
      <c r="S102" s="19" t="s">
        <v>7</v>
      </c>
      <c r="T102" s="20" t="s">
        <v>8</v>
      </c>
      <c r="U102" s="456"/>
    </row>
    <row r="103" spans="1:23" s="1" customFormat="1" ht="24.9" customHeight="1" thickBot="1" x14ac:dyDescent="0.3">
      <c r="A103" s="37"/>
      <c r="B103" s="1196"/>
      <c r="C103" s="1197"/>
      <c r="D103" s="22" t="s">
        <v>9</v>
      </c>
      <c r="E103" s="22"/>
      <c r="F103" s="22" t="s">
        <v>9</v>
      </c>
      <c r="G103" s="22" t="s">
        <v>9</v>
      </c>
      <c r="H103" s="22" t="s">
        <v>9</v>
      </c>
      <c r="I103" s="22" t="s">
        <v>9</v>
      </c>
      <c r="J103" s="22" t="s">
        <v>9</v>
      </c>
      <c r="K103" s="22" t="s">
        <v>9</v>
      </c>
      <c r="L103" s="22" t="s">
        <v>9</v>
      </c>
      <c r="M103" s="22" t="s">
        <v>11</v>
      </c>
      <c r="N103" s="22" t="s">
        <v>11</v>
      </c>
      <c r="O103" s="22" t="s">
        <v>11</v>
      </c>
      <c r="P103" s="22" t="s">
        <v>9</v>
      </c>
      <c r="Q103" s="22" t="s">
        <v>9</v>
      </c>
      <c r="R103" s="22" t="s">
        <v>21</v>
      </c>
      <c r="S103" s="22" t="s">
        <v>12</v>
      </c>
      <c r="T103" s="23" t="s">
        <v>12</v>
      </c>
      <c r="U103" s="456"/>
    </row>
    <row r="104" spans="1:23" s="1" customFormat="1" ht="24.9" customHeight="1" x14ac:dyDescent="0.25">
      <c r="A104" s="1192">
        <v>2013</v>
      </c>
      <c r="B104" s="1198" t="s">
        <v>23</v>
      </c>
      <c r="C104" s="1202" t="s">
        <v>16</v>
      </c>
      <c r="D104" s="31">
        <v>0.11</v>
      </c>
      <c r="E104" s="31"/>
      <c r="F104" s="31">
        <v>0.11</v>
      </c>
      <c r="G104" s="31">
        <v>0.16</v>
      </c>
      <c r="H104" s="31">
        <v>0.6</v>
      </c>
      <c r="I104" s="33">
        <v>0.15</v>
      </c>
      <c r="J104" s="31">
        <v>0.6</v>
      </c>
      <c r="K104" s="31">
        <v>3</v>
      </c>
      <c r="L104" s="31">
        <v>5</v>
      </c>
      <c r="M104" s="31">
        <v>10</v>
      </c>
      <c r="N104" s="31">
        <v>25</v>
      </c>
      <c r="O104" s="31"/>
      <c r="P104" s="31">
        <v>3</v>
      </c>
      <c r="Q104" s="31">
        <v>15</v>
      </c>
      <c r="R104" s="31"/>
      <c r="S104" s="31">
        <v>50</v>
      </c>
      <c r="T104" s="32">
        <v>3</v>
      </c>
      <c r="U104" s="554"/>
    </row>
    <row r="105" spans="1:23" s="1" customFormat="1" ht="16.5" customHeight="1" x14ac:dyDescent="0.25">
      <c r="A105" s="1192"/>
      <c r="B105" s="1199"/>
      <c r="C105" s="1203"/>
      <c r="D105" s="24">
        <f>+(D104-D$83)/D$83</f>
        <v>-6.779661016949147E-2</v>
      </c>
      <c r="E105" s="24"/>
      <c r="F105" s="24">
        <f t="shared" ref="F105:K105" si="34">+(F104-F$83)/F$83</f>
        <v>9.999999999999995E-2</v>
      </c>
      <c r="G105" s="24">
        <f t="shared" si="34"/>
        <v>-0.20000000000000004</v>
      </c>
      <c r="H105" s="24">
        <f t="shared" si="34"/>
        <v>2.2146507666098828E-2</v>
      </c>
      <c r="I105" s="24">
        <f t="shared" si="34"/>
        <v>4.8951048951049E-2</v>
      </c>
      <c r="J105" s="24">
        <f t="shared" si="34"/>
        <v>0.68067226890756305</v>
      </c>
      <c r="K105" s="24">
        <f t="shared" si="34"/>
        <v>0.33333333333333331</v>
      </c>
      <c r="L105" s="24">
        <f>+(L104-L$5)/L$5</f>
        <v>0</v>
      </c>
      <c r="M105" s="24">
        <f>+(M104-M$83)/M$83</f>
        <v>8.0645161290322648E-3</v>
      </c>
      <c r="N105" s="24">
        <f>+(N104-N$5)/N$5</f>
        <v>0</v>
      </c>
      <c r="O105" s="24"/>
      <c r="P105" s="24">
        <f>+(P104-P$83)/P$83</f>
        <v>0.27118644067796616</v>
      </c>
      <c r="Q105" s="24">
        <f>+(Q104-Q$83)/Q$83</f>
        <v>0.27118644067796605</v>
      </c>
      <c r="R105" s="24"/>
      <c r="S105" s="24">
        <f>+(S104-S$83)/S$83</f>
        <v>0.13378684807256233</v>
      </c>
      <c r="T105" s="24">
        <f>+(T104-T$83)/T$83</f>
        <v>0</v>
      </c>
      <c r="U105" s="555"/>
      <c r="V105" s="1" t="s">
        <v>170</v>
      </c>
    </row>
    <row r="106" spans="1:23" s="8" customFormat="1" x14ac:dyDescent="0.25">
      <c r="A106" s="1192"/>
      <c r="B106" s="1200"/>
      <c r="C106" s="53" t="s">
        <v>17</v>
      </c>
      <c r="D106" s="9">
        <v>0.15</v>
      </c>
      <c r="E106" s="9"/>
      <c r="F106" s="9">
        <v>1.1299999999999999</v>
      </c>
      <c r="G106" s="9">
        <v>0.23</v>
      </c>
      <c r="H106" s="9">
        <v>0.7</v>
      </c>
      <c r="I106" s="9">
        <v>0.2</v>
      </c>
      <c r="J106" s="9">
        <v>1</v>
      </c>
      <c r="K106" s="9">
        <v>3</v>
      </c>
      <c r="L106" s="9">
        <v>5</v>
      </c>
      <c r="M106" s="9">
        <v>12</v>
      </c>
      <c r="N106" s="9">
        <v>25</v>
      </c>
      <c r="O106" s="9"/>
      <c r="P106" s="9">
        <v>2.5</v>
      </c>
      <c r="Q106" s="9">
        <v>15</v>
      </c>
      <c r="R106" s="9">
        <f>+R104*1.16</f>
        <v>0</v>
      </c>
      <c r="S106" s="9">
        <v>50</v>
      </c>
      <c r="T106" s="10">
        <v>3</v>
      </c>
    </row>
    <row r="107" spans="1:23" s="8" customFormat="1" ht="13.8" thickBot="1" x14ac:dyDescent="0.3">
      <c r="A107" s="1192"/>
      <c r="B107" s="1201"/>
      <c r="C107" s="51" t="s">
        <v>22</v>
      </c>
      <c r="D107" s="11">
        <v>0.18</v>
      </c>
      <c r="E107" s="11"/>
      <c r="F107" s="11">
        <v>0.15</v>
      </c>
      <c r="G107" s="11">
        <v>0.28000000000000003</v>
      </c>
      <c r="H107" s="11">
        <v>0.7</v>
      </c>
      <c r="I107" s="11">
        <v>0.22</v>
      </c>
      <c r="J107" s="11">
        <v>1.3</v>
      </c>
      <c r="K107" s="11">
        <v>3</v>
      </c>
      <c r="L107" s="11">
        <v>5</v>
      </c>
      <c r="M107" s="11">
        <v>14</v>
      </c>
      <c r="N107" s="11">
        <v>25</v>
      </c>
      <c r="O107" s="11"/>
      <c r="P107" s="11">
        <v>4</v>
      </c>
      <c r="Q107" s="11">
        <v>15</v>
      </c>
      <c r="R107" s="11">
        <f>+R104*1.33</f>
        <v>0</v>
      </c>
      <c r="S107" s="11">
        <v>50</v>
      </c>
      <c r="T107" s="12">
        <v>3</v>
      </c>
    </row>
    <row r="108" spans="1:23" s="1" customFormat="1" ht="24.9" customHeight="1" x14ac:dyDescent="0.25">
      <c r="A108" s="1192"/>
      <c r="B108" s="1188" t="s">
        <v>24</v>
      </c>
      <c r="C108" s="95"/>
      <c r="D108" s="97">
        <v>0.11899999999999999</v>
      </c>
      <c r="E108" s="97">
        <v>0.1</v>
      </c>
      <c r="F108" s="97">
        <v>7.3999999999999996E-2</v>
      </c>
      <c r="G108" s="97">
        <v>0.14899999999999999</v>
      </c>
      <c r="H108" s="97">
        <v>0.3</v>
      </c>
      <c r="I108" s="97">
        <v>0</v>
      </c>
      <c r="J108" s="97">
        <v>0.4</v>
      </c>
      <c r="K108" s="97">
        <v>0.7</v>
      </c>
      <c r="L108" s="97">
        <v>6</v>
      </c>
      <c r="M108" s="97">
        <v>6.7</v>
      </c>
      <c r="N108" s="97">
        <v>30</v>
      </c>
      <c r="O108" s="97">
        <v>4</v>
      </c>
      <c r="P108" s="97">
        <v>0.85</v>
      </c>
      <c r="Q108" s="97">
        <v>20</v>
      </c>
      <c r="R108" s="97">
        <v>0</v>
      </c>
      <c r="S108" s="97">
        <v>12.6</v>
      </c>
      <c r="T108" s="98">
        <v>1.26</v>
      </c>
      <c r="U108" s="2"/>
    </row>
    <row r="109" spans="1:23" ht="24.9" customHeight="1" thickBot="1" x14ac:dyDescent="0.3">
      <c r="A109" s="1192"/>
      <c r="B109" s="1189"/>
      <c r="C109" s="99"/>
      <c r="D109" s="25">
        <f>+(D108-D$87)/D$87</f>
        <v>-0.32768361581920902</v>
      </c>
      <c r="E109" s="25" t="s">
        <v>173</v>
      </c>
      <c r="F109" s="25">
        <f t="shared" ref="F109:T109" si="35">+(F108-F$87)/F$87</f>
        <v>1.3698630136986314E-2</v>
      </c>
      <c r="G109" s="25">
        <f t="shared" si="35"/>
        <v>2.0547945205479472E-2</v>
      </c>
      <c r="H109" s="25">
        <f t="shared" si="35"/>
        <v>3.0927835051546421E-2</v>
      </c>
      <c r="I109" s="25"/>
      <c r="J109" s="25">
        <f t="shared" si="35"/>
        <v>1.5228426395939099E-2</v>
      </c>
      <c r="K109" s="25">
        <f t="shared" si="35"/>
        <v>2.1897810218977957E-2</v>
      </c>
      <c r="L109" s="25" t="s">
        <v>173</v>
      </c>
      <c r="M109" s="25">
        <f t="shared" si="35"/>
        <v>2.1497179448086601E-2</v>
      </c>
      <c r="N109" s="25" t="s">
        <v>173</v>
      </c>
      <c r="O109" s="25" t="s">
        <v>173</v>
      </c>
      <c r="P109" s="25">
        <f t="shared" si="35"/>
        <v>2.2864019253910971E-2</v>
      </c>
      <c r="Q109" s="25" t="s">
        <v>173</v>
      </c>
      <c r="R109" s="25"/>
      <c r="S109" s="25">
        <f t="shared" si="35"/>
        <v>1.6949152542372805E-2</v>
      </c>
      <c r="T109" s="25">
        <f t="shared" si="35"/>
        <v>1.6949152542372805E-2</v>
      </c>
      <c r="U109" s="555"/>
      <c r="W109" s="1" t="s">
        <v>170</v>
      </c>
    </row>
    <row r="110" spans="1:23" s="1" customFormat="1" ht="24.9" customHeight="1" x14ac:dyDescent="0.25">
      <c r="A110" s="1192"/>
      <c r="B110" s="1198" t="s">
        <v>27</v>
      </c>
      <c r="C110" s="14" t="s">
        <v>16</v>
      </c>
      <c r="D110" s="42">
        <v>0.14849999999999999</v>
      </c>
      <c r="E110" s="285">
        <v>0.1</v>
      </c>
      <c r="F110" s="284">
        <v>9.9000000000000005E-2</v>
      </c>
      <c r="G110" s="284">
        <v>0.19800000000000001</v>
      </c>
      <c r="H110" s="42">
        <v>0.34649999999999997</v>
      </c>
      <c r="I110" s="42"/>
      <c r="J110" s="287">
        <v>0.99</v>
      </c>
      <c r="K110" s="285">
        <v>1.5</v>
      </c>
      <c r="L110" s="285">
        <v>5</v>
      </c>
      <c r="M110" s="285">
        <v>15</v>
      </c>
      <c r="N110" s="285">
        <v>25</v>
      </c>
      <c r="O110" s="285"/>
      <c r="P110" s="285"/>
      <c r="Q110" s="285"/>
      <c r="R110" s="285"/>
      <c r="S110" s="285">
        <v>60</v>
      </c>
      <c r="T110" s="288">
        <v>8.5</v>
      </c>
      <c r="U110" s="556"/>
    </row>
    <row r="111" spans="1:23" ht="24.9" customHeight="1" x14ac:dyDescent="0.25">
      <c r="A111" s="1192"/>
      <c r="B111" s="1190"/>
      <c r="C111" s="28"/>
      <c r="D111" s="38">
        <f>+(D110-D$89)/D$89</f>
        <v>-1.0000000000000009E-2</v>
      </c>
      <c r="E111" s="38">
        <f t="shared" ref="E111:T111" si="36">+(E110-E$89)/E$89</f>
        <v>0</v>
      </c>
      <c r="F111" s="38">
        <f t="shared" si="36"/>
        <v>-1.0000000000000009E-2</v>
      </c>
      <c r="G111" s="38">
        <f t="shared" si="36"/>
        <v>-1.0000000000000009E-2</v>
      </c>
      <c r="H111" s="38">
        <f t="shared" si="36"/>
        <v>-1.0000000000000009E-2</v>
      </c>
      <c r="I111" s="38"/>
      <c r="J111" s="38">
        <f t="shared" si="36"/>
        <v>-1.0000000000000009E-2</v>
      </c>
      <c r="K111" s="289">
        <f t="shared" si="36"/>
        <v>0</v>
      </c>
      <c r="L111" s="289">
        <f t="shared" si="36"/>
        <v>0</v>
      </c>
      <c r="M111" s="289">
        <f t="shared" si="36"/>
        <v>0</v>
      </c>
      <c r="N111" s="289">
        <f t="shared" si="36"/>
        <v>0</v>
      </c>
      <c r="O111" s="289"/>
      <c r="P111" s="289"/>
      <c r="Q111" s="289"/>
      <c r="R111" s="289"/>
      <c r="S111" s="289">
        <f t="shared" si="36"/>
        <v>0</v>
      </c>
      <c r="T111" s="289">
        <f t="shared" si="36"/>
        <v>0</v>
      </c>
      <c r="U111" s="555"/>
      <c r="W111" s="1" t="s">
        <v>170</v>
      </c>
    </row>
    <row r="112" spans="1:23" ht="15" customHeight="1" thickBot="1" x14ac:dyDescent="0.3">
      <c r="A112" s="1192"/>
      <c r="B112" s="1201"/>
      <c r="C112" s="51" t="s">
        <v>17</v>
      </c>
      <c r="D112" s="462">
        <f>+D110*1.3</f>
        <v>0.19305</v>
      </c>
      <c r="E112" s="441">
        <v>0.1</v>
      </c>
      <c r="F112" s="462">
        <f>+F110*1.3</f>
        <v>0.12870000000000001</v>
      </c>
      <c r="G112" s="462">
        <f>+G110*1.3</f>
        <v>0.25740000000000002</v>
      </c>
      <c r="H112" s="462">
        <f>+H110*1.3</f>
        <v>0.45044999999999996</v>
      </c>
      <c r="I112" s="462">
        <f>+I110*1.3</f>
        <v>0</v>
      </c>
      <c r="J112" s="462">
        <f>+J110*1.3</f>
        <v>1.2869999999999999</v>
      </c>
      <c r="K112" s="465">
        <v>1.5</v>
      </c>
      <c r="L112" s="465">
        <v>5</v>
      </c>
      <c r="M112" s="465">
        <v>15</v>
      </c>
      <c r="N112" s="465">
        <v>25</v>
      </c>
      <c r="O112" s="465"/>
      <c r="P112" s="465"/>
      <c r="Q112" s="465"/>
      <c r="R112" s="465"/>
      <c r="S112" s="465">
        <v>60</v>
      </c>
      <c r="T112" s="467">
        <v>8.5</v>
      </c>
      <c r="U112" s="557"/>
    </row>
    <row r="113" spans="1:23" s="1" customFormat="1" ht="24.9" customHeight="1" x14ac:dyDescent="0.25">
      <c r="A113" s="1192"/>
      <c r="B113" s="1188" t="s">
        <v>26</v>
      </c>
      <c r="C113" s="95"/>
      <c r="D113" s="92">
        <v>0.16700000000000001</v>
      </c>
      <c r="E113" s="92">
        <v>5.6000000000000001E-2</v>
      </c>
      <c r="F113" s="92">
        <v>0.111</v>
      </c>
      <c r="G113" s="92">
        <v>0.223</v>
      </c>
      <c r="H113" s="92">
        <v>0.39</v>
      </c>
      <c r="I113" s="92"/>
      <c r="J113" s="92">
        <v>1.1140000000000001</v>
      </c>
      <c r="K113" s="92">
        <v>2.4729999999999999</v>
      </c>
      <c r="L113" s="92">
        <v>4.117</v>
      </c>
      <c r="M113" s="92">
        <v>11</v>
      </c>
      <c r="N113" s="92">
        <v>18.337</v>
      </c>
      <c r="O113" s="92">
        <v>2.9</v>
      </c>
      <c r="P113" s="92">
        <v>8.4</v>
      </c>
      <c r="Q113" s="92">
        <v>12.926</v>
      </c>
      <c r="R113" s="92">
        <v>0.12</v>
      </c>
      <c r="S113" s="92">
        <v>47.356000000000002</v>
      </c>
      <c r="T113" s="93">
        <v>4.7359999999999998</v>
      </c>
      <c r="U113" s="2"/>
    </row>
    <row r="114" spans="1:23" ht="24.9" customHeight="1" thickBot="1" x14ac:dyDescent="0.3">
      <c r="A114" s="1192"/>
      <c r="B114" s="1189"/>
      <c r="C114" s="96"/>
      <c r="D114" s="30">
        <f>+(D113-D$92)/D$92</f>
        <v>5.0314465408805076E-2</v>
      </c>
      <c r="E114" s="30">
        <f t="shared" ref="E114:T114" si="37">+(E113-E$92)/E$92</f>
        <v>5.660377358490571E-2</v>
      </c>
      <c r="F114" s="30">
        <f t="shared" si="37"/>
        <v>4.7169811320754762E-2</v>
      </c>
      <c r="G114" s="30">
        <f t="shared" si="37"/>
        <v>5.188679245283024E-2</v>
      </c>
      <c r="H114" s="30">
        <v>0.41</v>
      </c>
      <c r="I114" s="30"/>
      <c r="J114" s="30">
        <f t="shared" si="37"/>
        <v>4.9952874646560001E-2</v>
      </c>
      <c r="K114" s="30">
        <f t="shared" si="37"/>
        <v>7.5217391304347847E-2</v>
      </c>
      <c r="L114" s="30">
        <f t="shared" si="37"/>
        <v>7.4934725848563949E-2</v>
      </c>
      <c r="M114" s="30">
        <f t="shared" si="37"/>
        <v>0.1</v>
      </c>
      <c r="N114" s="30">
        <f t="shared" si="37"/>
        <v>9.9999999999999867E-2</v>
      </c>
      <c r="O114" s="30" t="s">
        <v>173</v>
      </c>
      <c r="P114" s="30">
        <f t="shared" si="37"/>
        <v>5.0000000000000044E-2</v>
      </c>
      <c r="Q114" s="30">
        <f t="shared" si="37"/>
        <v>5.0040617384240427E-2</v>
      </c>
      <c r="R114" s="30">
        <f t="shared" si="37"/>
        <v>4.3478260869565133E-2</v>
      </c>
      <c r="S114" s="30">
        <f t="shared" si="37"/>
        <v>4.9998891377131385E-2</v>
      </c>
      <c r="T114" s="30">
        <f t="shared" si="37"/>
        <v>5.0110864745011086E-2</v>
      </c>
      <c r="U114" s="555"/>
      <c r="W114" s="3" t="s">
        <v>187</v>
      </c>
    </row>
    <row r="115" spans="1:23" s="395" customFormat="1" ht="24.9" customHeight="1" x14ac:dyDescent="0.25">
      <c r="A115" s="1192"/>
      <c r="B115" s="1198" t="s">
        <v>28</v>
      </c>
      <c r="C115" s="392" t="s">
        <v>16</v>
      </c>
      <c r="D115" s="393">
        <f>0.103+0.0122</f>
        <v>0.1152</v>
      </c>
      <c r="E115" s="393"/>
      <c r="F115" s="393">
        <f>0.068+0.0082</f>
        <v>7.6200000000000004E-2</v>
      </c>
      <c r="G115" s="393">
        <f>0.138+0.0164</f>
        <v>0.15440000000000001</v>
      </c>
      <c r="H115" s="393">
        <f>0.239+0.0288</f>
        <v>0.26779999999999998</v>
      </c>
      <c r="I115" s="393">
        <f>0.103+0.0122</f>
        <v>0.1152</v>
      </c>
      <c r="J115" s="393">
        <f>0.859+0.103</f>
        <v>0.96199999999999997</v>
      </c>
      <c r="K115" s="393">
        <f>1.642+0.1468</f>
        <v>1.7887999999999999</v>
      </c>
      <c r="L115" s="396">
        <v>6</v>
      </c>
      <c r="M115" s="393">
        <f>8.211+0.7338</f>
        <v>8.9448000000000008</v>
      </c>
      <c r="N115" s="396">
        <v>30</v>
      </c>
      <c r="O115" s="393"/>
      <c r="P115" s="393">
        <f>7.117+0.2926</f>
        <v>7.4096000000000002</v>
      </c>
      <c r="Q115" s="396">
        <v>20</v>
      </c>
      <c r="R115" s="393">
        <f>0.079+0.0092</f>
        <v>8.8200000000000001E-2</v>
      </c>
      <c r="S115" s="396">
        <v>43.35</v>
      </c>
      <c r="T115" s="394"/>
      <c r="U115" s="558"/>
    </row>
    <row r="116" spans="1:23" ht="24.9" customHeight="1" x14ac:dyDescent="0.25">
      <c r="A116" s="1192"/>
      <c r="B116" s="1199"/>
      <c r="C116" s="15"/>
      <c r="D116" s="34">
        <f>+(D115-D$94)/D$94</f>
        <v>0.11844660194174761</v>
      </c>
      <c r="E116" s="34"/>
      <c r="F116" s="34">
        <f>+(F115-F$94)/F$94</f>
        <v>0.12058823529411762</v>
      </c>
      <c r="G116" s="34">
        <f t="shared" ref="G116:S116" si="38">+(G115-G$94)/G$94</f>
        <v>0.1188405797101449</v>
      </c>
      <c r="H116" s="34">
        <f t="shared" si="38"/>
        <v>0.12050209205020918</v>
      </c>
      <c r="I116" s="34">
        <f t="shared" si="38"/>
        <v>0.11844660194174761</v>
      </c>
      <c r="J116" s="34">
        <f t="shared" si="38"/>
        <v>0.11990686845168799</v>
      </c>
      <c r="K116" s="34">
        <f t="shared" si="38"/>
        <v>8.9403166869671161E-2</v>
      </c>
      <c r="L116" s="34">
        <f t="shared" si="38"/>
        <v>0.2</v>
      </c>
      <c r="M116" s="34">
        <f t="shared" si="38"/>
        <v>8.936792108147612E-2</v>
      </c>
      <c r="N116" s="34">
        <f t="shared" si="38"/>
        <v>0.2</v>
      </c>
      <c r="O116" s="34"/>
      <c r="P116" s="34">
        <f t="shared" si="38"/>
        <v>4.111282843894902E-2</v>
      </c>
      <c r="Q116" s="34">
        <f t="shared" si="38"/>
        <v>0</v>
      </c>
      <c r="R116" s="34">
        <f t="shared" si="38"/>
        <v>0.11645569620253164</v>
      </c>
      <c r="S116" s="34">
        <f t="shared" si="38"/>
        <v>0</v>
      </c>
      <c r="T116" s="34"/>
      <c r="U116" s="555"/>
      <c r="W116" s="1" t="s">
        <v>170</v>
      </c>
    </row>
    <row r="117" spans="1:23" s="7" customFormat="1" ht="12.75" customHeight="1" x14ac:dyDescent="0.25">
      <c r="A117" s="1192"/>
      <c r="B117" s="1200"/>
      <c r="C117" s="53" t="s">
        <v>17</v>
      </c>
      <c r="D117" s="9">
        <f>0.134+0.006</f>
        <v>0.14000000000000001</v>
      </c>
      <c r="E117" s="9">
        <f>+E115*1.3</f>
        <v>0</v>
      </c>
      <c r="F117" s="9">
        <f>0.089+0.004</f>
        <v>9.2999999999999999E-2</v>
      </c>
      <c r="G117" s="9">
        <f>0.179+0.0082</f>
        <v>0.18720000000000001</v>
      </c>
      <c r="H117" s="9">
        <f>0.311+0.0144</f>
        <v>0.32540000000000002</v>
      </c>
      <c r="I117" s="9">
        <f>0.134+0.006</f>
        <v>0.14000000000000001</v>
      </c>
      <c r="J117" s="9">
        <f>1.117+0.0514</f>
        <v>1.1684000000000001</v>
      </c>
      <c r="K117" s="4">
        <f>1.642+0.1468</f>
        <v>1.7887999999999999</v>
      </c>
      <c r="L117" s="4">
        <v>6</v>
      </c>
      <c r="M117" s="4">
        <f>8.211+0.7338</f>
        <v>8.9448000000000008</v>
      </c>
      <c r="N117" s="4">
        <v>30</v>
      </c>
      <c r="O117" s="4"/>
      <c r="P117" s="4">
        <f>7.117+0.2926</f>
        <v>7.4096000000000002</v>
      </c>
      <c r="Q117" s="4">
        <v>20</v>
      </c>
      <c r="R117" s="9">
        <f>0.102+0.0046</f>
        <v>0.1066</v>
      </c>
      <c r="S117" s="4">
        <v>43.35</v>
      </c>
      <c r="T117" s="10"/>
      <c r="U117" s="8"/>
    </row>
    <row r="118" spans="1:23" ht="12.75" customHeight="1" thickBot="1" x14ac:dyDescent="0.3">
      <c r="A118" s="1192"/>
      <c r="B118" s="1201"/>
      <c r="C118" s="51" t="s">
        <v>22</v>
      </c>
      <c r="D118" s="51">
        <v>0.16400000000000001</v>
      </c>
      <c r="E118" s="11">
        <v>0</v>
      </c>
      <c r="F118" s="11">
        <v>0.10880000000000001</v>
      </c>
      <c r="G118" s="11">
        <v>0.22</v>
      </c>
      <c r="H118" s="11">
        <v>0.38300000000000001</v>
      </c>
      <c r="I118" s="11">
        <v>0.16400000000000001</v>
      </c>
      <c r="J118" s="11">
        <v>1.3744000000000001</v>
      </c>
      <c r="K118" s="4">
        <f>1.642+0.1468</f>
        <v>1.7887999999999999</v>
      </c>
      <c r="L118" s="4">
        <v>6</v>
      </c>
      <c r="M118" s="4">
        <f>8.211+0.7338</f>
        <v>8.9448000000000008</v>
      </c>
      <c r="N118" s="4">
        <v>30</v>
      </c>
      <c r="O118" s="4"/>
      <c r="P118" s="4">
        <f>7.117+0.2926</f>
        <v>7.4096000000000002</v>
      </c>
      <c r="Q118" s="4">
        <v>20</v>
      </c>
      <c r="R118" s="9">
        <f>0.102+0.0046</f>
        <v>0.1066</v>
      </c>
      <c r="S118" s="4">
        <v>43.35</v>
      </c>
      <c r="T118" s="6"/>
    </row>
    <row r="119" spans="1:23" s="1" customFormat="1" ht="24.9" customHeight="1" x14ac:dyDescent="0.25">
      <c r="A119" s="1192"/>
      <c r="B119" s="1188" t="s">
        <v>29</v>
      </c>
      <c r="C119" s="15" t="s">
        <v>16</v>
      </c>
      <c r="D119" s="48">
        <v>0.15</v>
      </c>
      <c r="E119" s="48">
        <v>3.0000000000000001E-3</v>
      </c>
      <c r="F119" s="48">
        <v>0.12</v>
      </c>
      <c r="G119" s="48">
        <v>0.22</v>
      </c>
      <c r="H119" s="48">
        <v>0.35</v>
      </c>
      <c r="I119" s="48">
        <v>0.2</v>
      </c>
      <c r="J119" s="48">
        <v>1</v>
      </c>
      <c r="K119" s="48">
        <v>2.2000000000000002</v>
      </c>
      <c r="L119" s="48">
        <v>3.7</v>
      </c>
      <c r="M119" s="48">
        <v>12</v>
      </c>
      <c r="N119" s="48">
        <v>20</v>
      </c>
      <c r="O119" s="48">
        <v>1</v>
      </c>
      <c r="P119" s="48">
        <v>9</v>
      </c>
      <c r="Q119" s="48">
        <v>13.8</v>
      </c>
      <c r="R119" s="48">
        <v>0.1</v>
      </c>
      <c r="S119" s="48">
        <v>20</v>
      </c>
      <c r="T119" s="50">
        <v>2</v>
      </c>
      <c r="U119" s="2"/>
    </row>
    <row r="120" spans="1:23" ht="24.9" customHeight="1" x14ac:dyDescent="0.25">
      <c r="A120" s="1192"/>
      <c r="B120" s="1190"/>
      <c r="C120" s="28"/>
      <c r="D120" s="35">
        <f>+(D119-D$98)/D$98</f>
        <v>0</v>
      </c>
      <c r="E120" s="35">
        <f t="shared" ref="E120:T120" si="39">+(E119-E$98)/E$98</f>
        <v>0</v>
      </c>
      <c r="F120" s="35">
        <f t="shared" si="39"/>
        <v>0</v>
      </c>
      <c r="G120" s="35">
        <f t="shared" si="39"/>
        <v>0</v>
      </c>
      <c r="H120" s="35">
        <f t="shared" si="39"/>
        <v>0</v>
      </c>
      <c r="I120" s="35">
        <f t="shared" si="39"/>
        <v>0</v>
      </c>
      <c r="J120" s="35">
        <f t="shared" si="39"/>
        <v>0</v>
      </c>
      <c r="K120" s="35">
        <f t="shared" si="39"/>
        <v>0</v>
      </c>
      <c r="L120" s="35">
        <f t="shared" si="39"/>
        <v>0</v>
      </c>
      <c r="M120" s="35">
        <f t="shared" si="39"/>
        <v>0</v>
      </c>
      <c r="N120" s="35">
        <f t="shared" si="39"/>
        <v>0</v>
      </c>
      <c r="O120" s="35" t="s">
        <v>173</v>
      </c>
      <c r="P120" s="35">
        <f t="shared" si="39"/>
        <v>0</v>
      </c>
      <c r="Q120" s="35">
        <f t="shared" si="39"/>
        <v>0</v>
      </c>
      <c r="R120" s="35">
        <f t="shared" si="39"/>
        <v>0</v>
      </c>
      <c r="S120" s="35">
        <f t="shared" si="39"/>
        <v>0</v>
      </c>
      <c r="T120" s="35">
        <f t="shared" si="39"/>
        <v>0</v>
      </c>
      <c r="U120" s="555"/>
      <c r="W120" s="1" t="s">
        <v>170</v>
      </c>
    </row>
    <row r="121" spans="1:23" ht="12.75" customHeight="1" thickBot="1" x14ac:dyDescent="0.3">
      <c r="A121" s="1193"/>
      <c r="B121" s="1189"/>
      <c r="C121" s="51" t="s">
        <v>17</v>
      </c>
      <c r="D121" s="90">
        <v>0.15</v>
      </c>
      <c r="E121" s="90">
        <v>3.0000000000000001E-3</v>
      </c>
      <c r="F121" s="90">
        <v>0.15</v>
      </c>
      <c r="G121" s="90">
        <v>0.27500000000000002</v>
      </c>
      <c r="H121" s="90">
        <v>0.44</v>
      </c>
      <c r="I121" s="90">
        <v>0.2</v>
      </c>
      <c r="J121" s="90">
        <v>1.25</v>
      </c>
      <c r="K121" s="90">
        <v>2.2000000000000002</v>
      </c>
      <c r="L121" s="90">
        <v>3.7</v>
      </c>
      <c r="M121" s="90">
        <v>12</v>
      </c>
      <c r="N121" s="90">
        <v>20</v>
      </c>
      <c r="O121" s="90">
        <v>1</v>
      </c>
      <c r="P121" s="90">
        <v>9</v>
      </c>
      <c r="Q121" s="90">
        <v>13.8</v>
      </c>
      <c r="R121" s="90">
        <v>0.1</v>
      </c>
      <c r="S121" s="90">
        <v>20</v>
      </c>
      <c r="T121" s="91">
        <v>2</v>
      </c>
      <c r="U121" s="94"/>
    </row>
    <row r="122" spans="1:23" ht="24.9" customHeight="1" thickBot="1" x14ac:dyDescent="0.3"/>
    <row r="123" spans="1:23" ht="86.25" customHeight="1" x14ac:dyDescent="0.25">
      <c r="A123" s="36"/>
      <c r="B123" s="1194" t="s">
        <v>30</v>
      </c>
      <c r="C123" s="1195"/>
      <c r="D123" s="19" t="s">
        <v>0</v>
      </c>
      <c r="E123" s="19" t="s">
        <v>25</v>
      </c>
      <c r="F123" s="19" t="s">
        <v>1</v>
      </c>
      <c r="G123" s="19" t="s">
        <v>2</v>
      </c>
      <c r="H123" s="19" t="s">
        <v>13</v>
      </c>
      <c r="I123" s="19" t="s">
        <v>14</v>
      </c>
      <c r="J123" s="19" t="s">
        <v>10</v>
      </c>
      <c r="K123" s="19" t="s">
        <v>3</v>
      </c>
      <c r="L123" s="19" t="s">
        <v>4</v>
      </c>
      <c r="M123" s="19" t="s">
        <v>19</v>
      </c>
      <c r="N123" s="19" t="s">
        <v>20</v>
      </c>
      <c r="O123" s="19" t="s">
        <v>152</v>
      </c>
      <c r="P123" s="19" t="s">
        <v>5</v>
      </c>
      <c r="Q123" s="19" t="s">
        <v>6</v>
      </c>
      <c r="R123" s="19" t="s">
        <v>18</v>
      </c>
      <c r="S123" s="19" t="s">
        <v>7</v>
      </c>
      <c r="T123" s="20" t="s">
        <v>8</v>
      </c>
      <c r="U123" s="456"/>
    </row>
    <row r="124" spans="1:23" ht="24.9" customHeight="1" thickBot="1" x14ac:dyDescent="0.3">
      <c r="A124" s="37"/>
      <c r="B124" s="1196"/>
      <c r="C124" s="1197"/>
      <c r="D124" s="22" t="s">
        <v>9</v>
      </c>
      <c r="E124" s="22"/>
      <c r="F124" s="22" t="s">
        <v>9</v>
      </c>
      <c r="G124" s="22" t="s">
        <v>9</v>
      </c>
      <c r="H124" s="22" t="s">
        <v>9</v>
      </c>
      <c r="I124" s="22" t="s">
        <v>9</v>
      </c>
      <c r="J124" s="22" t="s">
        <v>9</v>
      </c>
      <c r="K124" s="22" t="s">
        <v>9</v>
      </c>
      <c r="L124" s="22" t="s">
        <v>9</v>
      </c>
      <c r="M124" s="22" t="s">
        <v>11</v>
      </c>
      <c r="N124" s="22" t="s">
        <v>11</v>
      </c>
      <c r="O124" s="22" t="s">
        <v>11</v>
      </c>
      <c r="P124" s="22" t="s">
        <v>9</v>
      </c>
      <c r="Q124" s="22" t="s">
        <v>9</v>
      </c>
      <c r="R124" s="22" t="s">
        <v>21</v>
      </c>
      <c r="S124" s="22" t="s">
        <v>12</v>
      </c>
      <c r="T124" s="23" t="s">
        <v>12</v>
      </c>
      <c r="U124" s="456"/>
    </row>
    <row r="125" spans="1:23" ht="24.9" customHeight="1" x14ac:dyDescent="0.25">
      <c r="A125" s="1192">
        <v>2014</v>
      </c>
      <c r="B125" s="1198" t="s">
        <v>23</v>
      </c>
      <c r="C125" s="1202" t="s">
        <v>16</v>
      </c>
      <c r="D125" s="31">
        <v>0.12</v>
      </c>
      <c r="E125" s="31"/>
      <c r="F125" s="31">
        <v>0.12</v>
      </c>
      <c r="G125" s="31">
        <v>0.16</v>
      </c>
      <c r="H125" s="31">
        <v>0.6</v>
      </c>
      <c r="I125" s="33">
        <v>0.16</v>
      </c>
      <c r="J125" s="31">
        <v>0.7</v>
      </c>
      <c r="K125" s="31">
        <v>3</v>
      </c>
      <c r="L125" s="31">
        <v>5.2</v>
      </c>
      <c r="M125" s="31">
        <v>11</v>
      </c>
      <c r="N125" s="31">
        <v>26</v>
      </c>
      <c r="O125" s="31"/>
      <c r="P125" s="31">
        <v>4</v>
      </c>
      <c r="Q125" s="31">
        <v>17</v>
      </c>
      <c r="R125" s="31"/>
      <c r="S125" s="31">
        <v>52</v>
      </c>
      <c r="T125" s="32">
        <v>3.4</v>
      </c>
      <c r="U125" s="554"/>
    </row>
    <row r="126" spans="1:23" ht="24.9" customHeight="1" thickBot="1" x14ac:dyDescent="0.3">
      <c r="A126" s="1192"/>
      <c r="B126" s="1199"/>
      <c r="C126" s="1203"/>
      <c r="D126" s="24">
        <f>+(D125-D$83)/D$83</f>
        <v>1.6949152542372899E-2</v>
      </c>
      <c r="E126" s="24"/>
      <c r="F126" s="24">
        <f t="shared" ref="F126:K126" si="40">+(F125-F$83)/F$83</f>
        <v>0.1999999999999999</v>
      </c>
      <c r="G126" s="24">
        <f t="shared" si="40"/>
        <v>-0.20000000000000004</v>
      </c>
      <c r="H126" s="24">
        <f t="shared" si="40"/>
        <v>2.2146507666098828E-2</v>
      </c>
      <c r="I126" s="24">
        <f t="shared" si="40"/>
        <v>0.11888111888111899</v>
      </c>
      <c r="J126" s="24">
        <f t="shared" si="40"/>
        <v>0.96078431372549011</v>
      </c>
      <c r="K126" s="24">
        <f t="shared" si="40"/>
        <v>0.33333333333333331</v>
      </c>
      <c r="L126" s="24">
        <f>+(L125-L$5)/L$5</f>
        <v>4.0000000000000036E-2</v>
      </c>
      <c r="M126" s="24">
        <f>+(M125-M$83)/M$83</f>
        <v>0.1088709677419355</v>
      </c>
      <c r="N126" s="24">
        <f>+(N125-N$5)/N$5</f>
        <v>0.04</v>
      </c>
      <c r="O126" s="24"/>
      <c r="P126" s="24">
        <f>+(P125-P$83)/P$83</f>
        <v>0.69491525423728817</v>
      </c>
      <c r="Q126" s="24">
        <f>+(Q125-Q$83)/Q$83</f>
        <v>0.44067796610169485</v>
      </c>
      <c r="R126" s="24"/>
      <c r="S126" s="24">
        <f>+(S125-S$83)/S$83</f>
        <v>0.17913832199546481</v>
      </c>
      <c r="T126" s="24">
        <f>+(T125-T$83)/T$83</f>
        <v>0.1333333333333333</v>
      </c>
      <c r="U126" s="555"/>
      <c r="V126" s="1" t="s">
        <v>170</v>
      </c>
    </row>
    <row r="127" spans="1:23" ht="24.9" customHeight="1" thickBot="1" x14ac:dyDescent="0.3">
      <c r="A127" s="1192"/>
      <c r="B127" s="1200"/>
      <c r="C127" s="53" t="s">
        <v>17</v>
      </c>
      <c r="D127" s="9">
        <v>0.16</v>
      </c>
      <c r="E127" s="9"/>
      <c r="F127" s="9">
        <v>0.15</v>
      </c>
      <c r="G127" s="9">
        <v>0.24</v>
      </c>
      <c r="H127" s="9">
        <v>0.7</v>
      </c>
      <c r="I127" s="9">
        <v>0.21</v>
      </c>
      <c r="J127" s="9">
        <v>1.1000000000000001</v>
      </c>
      <c r="K127" s="9">
        <v>3.1</v>
      </c>
      <c r="L127" s="400">
        <v>5.2</v>
      </c>
      <c r="M127" s="9">
        <v>13</v>
      </c>
      <c r="N127" s="9">
        <v>26</v>
      </c>
      <c r="O127" s="9"/>
      <c r="P127" s="9">
        <v>4</v>
      </c>
      <c r="Q127" s="400">
        <v>17</v>
      </c>
      <c r="R127" s="9">
        <f>+R125*1.16</f>
        <v>0</v>
      </c>
      <c r="S127" s="9">
        <v>52</v>
      </c>
      <c r="T127" s="10">
        <v>3.4</v>
      </c>
      <c r="U127" s="8"/>
      <c r="V127" s="1"/>
    </row>
    <row r="128" spans="1:23" ht="24.9" customHeight="1" thickBot="1" x14ac:dyDescent="0.3">
      <c r="A128" s="1192"/>
      <c r="B128" s="1201"/>
      <c r="C128" s="51" t="s">
        <v>22</v>
      </c>
      <c r="D128" s="11">
        <v>0.2</v>
      </c>
      <c r="E128" s="11"/>
      <c r="F128" s="11">
        <v>0.16</v>
      </c>
      <c r="G128" s="11">
        <v>0.3</v>
      </c>
      <c r="H128" s="11">
        <v>0.7</v>
      </c>
      <c r="I128" s="11">
        <v>0.24</v>
      </c>
      <c r="J128" s="11">
        <v>1.4</v>
      </c>
      <c r="K128" s="11">
        <v>3.1</v>
      </c>
      <c r="L128" s="103">
        <v>5.2</v>
      </c>
      <c r="M128" s="11">
        <v>15</v>
      </c>
      <c r="N128" s="11">
        <v>26</v>
      </c>
      <c r="O128" s="11"/>
      <c r="P128" s="11">
        <v>5</v>
      </c>
      <c r="Q128" s="400">
        <v>17</v>
      </c>
      <c r="R128" s="11">
        <f>+R125*1.33</f>
        <v>0</v>
      </c>
      <c r="S128" s="11">
        <v>52</v>
      </c>
      <c r="T128" s="12">
        <v>3.4</v>
      </c>
      <c r="U128" s="8"/>
    </row>
    <row r="129" spans="1:22" ht="24.9" customHeight="1" x14ac:dyDescent="0.25">
      <c r="A129" s="1192"/>
      <c r="B129" s="1188" t="s">
        <v>24</v>
      </c>
      <c r="C129" s="95"/>
      <c r="D129" s="97">
        <v>0.122</v>
      </c>
      <c r="E129" s="97">
        <v>0.1</v>
      </c>
      <c r="F129" s="97">
        <v>7.5999999999999998E-2</v>
      </c>
      <c r="G129" s="97">
        <v>0.152</v>
      </c>
      <c r="H129" s="97">
        <v>0.30499999999999999</v>
      </c>
      <c r="I129" s="97"/>
      <c r="J129" s="97">
        <v>0.41</v>
      </c>
      <c r="K129" s="97">
        <v>0.71</v>
      </c>
      <c r="L129" s="97">
        <v>6</v>
      </c>
      <c r="M129" s="97">
        <v>6.8</v>
      </c>
      <c r="N129" s="97">
        <v>30</v>
      </c>
      <c r="O129" s="97">
        <v>4</v>
      </c>
      <c r="P129" s="97">
        <v>0.86</v>
      </c>
      <c r="Q129" s="97">
        <v>20</v>
      </c>
      <c r="R129" s="97"/>
      <c r="S129" s="97">
        <v>12.9</v>
      </c>
      <c r="T129" s="98">
        <v>1.29</v>
      </c>
      <c r="U129" s="2"/>
    </row>
    <row r="130" spans="1:22" ht="24.9" customHeight="1" thickBot="1" x14ac:dyDescent="0.3">
      <c r="A130" s="1192"/>
      <c r="B130" s="1189"/>
      <c r="C130" s="99"/>
      <c r="D130" s="25">
        <f>+(D129-D$87)/D$87</f>
        <v>-0.31073446327683613</v>
      </c>
      <c r="E130" s="25" t="s">
        <v>173</v>
      </c>
      <c r="F130" s="25">
        <f>+(F129-F$87)/F$87</f>
        <v>4.1095890410958943E-2</v>
      </c>
      <c r="G130" s="25">
        <f>+(G129-G$87)/G$87</f>
        <v>4.1095890410958943E-2</v>
      </c>
      <c r="H130" s="25">
        <f>+(H129-H$87)/H$87</f>
        <v>4.8109965635738876E-2</v>
      </c>
      <c r="I130" s="25"/>
      <c r="J130" s="25">
        <f t="shared" ref="J130:P130" si="41">+(J129-J$87)/J$87</f>
        <v>4.0609137055837456E-2</v>
      </c>
      <c r="K130" s="25">
        <f t="shared" si="41"/>
        <v>3.6496350364963369E-2</v>
      </c>
      <c r="L130" s="25"/>
      <c r="M130" s="25">
        <f t="shared" si="41"/>
        <v>3.6743406007013209E-2</v>
      </c>
      <c r="N130" s="25"/>
      <c r="O130" s="25"/>
      <c r="P130" s="25">
        <f t="shared" si="41"/>
        <v>3.4897713598074642E-2</v>
      </c>
      <c r="Q130" s="25"/>
      <c r="R130" s="25"/>
      <c r="S130" s="25">
        <f>+(S129-S$87)/S$87</f>
        <v>4.1162227602905548E-2</v>
      </c>
      <c r="T130" s="25">
        <f>+(T129-T$87)/T$87</f>
        <v>4.1162227602905513E-2</v>
      </c>
      <c r="U130" s="555"/>
      <c r="V130" s="3" t="s">
        <v>170</v>
      </c>
    </row>
    <row r="131" spans="1:22" ht="24.9" customHeight="1" x14ac:dyDescent="0.25">
      <c r="A131" s="1192"/>
      <c r="B131" s="1198" t="s">
        <v>27</v>
      </c>
      <c r="C131" s="14" t="s">
        <v>16</v>
      </c>
      <c r="D131" s="284">
        <v>0.14699999999999999</v>
      </c>
      <c r="E131" s="285">
        <v>0.1</v>
      </c>
      <c r="F131" s="284">
        <v>9.8000000000000004E-2</v>
      </c>
      <c r="G131" s="284">
        <v>0.19600000000000001</v>
      </c>
      <c r="H131" s="284">
        <v>0.34300000000000003</v>
      </c>
      <c r="I131" s="293" t="s">
        <v>148</v>
      </c>
      <c r="J131" s="284">
        <v>0.98009999999999997</v>
      </c>
      <c r="K131" s="285">
        <v>1.5</v>
      </c>
      <c r="L131" s="285">
        <v>5</v>
      </c>
      <c r="M131" s="285">
        <v>15</v>
      </c>
      <c r="N131" s="285">
        <v>25</v>
      </c>
      <c r="O131" s="285"/>
      <c r="P131" s="293" t="s">
        <v>148</v>
      </c>
      <c r="Q131" s="293" t="s">
        <v>148</v>
      </c>
      <c r="R131" s="293" t="s">
        <v>148</v>
      </c>
      <c r="S131" s="285">
        <v>60</v>
      </c>
      <c r="T131" s="285">
        <v>8.5</v>
      </c>
      <c r="U131" s="556"/>
    </row>
    <row r="132" spans="1:22" ht="24.9" customHeight="1" x14ac:dyDescent="0.25">
      <c r="A132" s="1192"/>
      <c r="B132" s="1190"/>
      <c r="C132" s="28"/>
      <c r="D132" s="38">
        <f>+(D131-D$89)/D$89</f>
        <v>-2.0000000000000018E-2</v>
      </c>
      <c r="E132" s="38">
        <f t="shared" ref="E132:T132" si="42">+(E131-E$89)/E$89</f>
        <v>0</v>
      </c>
      <c r="F132" s="38">
        <f t="shared" si="42"/>
        <v>-2.0000000000000018E-2</v>
      </c>
      <c r="G132" s="38">
        <f t="shared" si="42"/>
        <v>-2.0000000000000018E-2</v>
      </c>
      <c r="H132" s="38">
        <f t="shared" si="42"/>
        <v>-1.9999999999999862E-2</v>
      </c>
      <c r="I132" s="38"/>
      <c r="J132" s="38">
        <f t="shared" si="42"/>
        <v>-1.9900000000000029E-2</v>
      </c>
      <c r="K132" s="38">
        <f t="shared" si="42"/>
        <v>0</v>
      </c>
      <c r="L132" s="38">
        <f t="shared" si="42"/>
        <v>0</v>
      </c>
      <c r="M132" s="38">
        <f t="shared" si="42"/>
        <v>0</v>
      </c>
      <c r="N132" s="38">
        <f t="shared" si="42"/>
        <v>0</v>
      </c>
      <c r="O132" s="289"/>
      <c r="P132" s="38"/>
      <c r="Q132" s="38"/>
      <c r="R132" s="38"/>
      <c r="S132" s="38">
        <f t="shared" si="42"/>
        <v>0</v>
      </c>
      <c r="T132" s="38">
        <f t="shared" si="42"/>
        <v>0</v>
      </c>
      <c r="U132" s="555"/>
      <c r="V132" s="1" t="s">
        <v>170</v>
      </c>
    </row>
    <row r="133" spans="1:22" ht="24.9" customHeight="1" thickBot="1" x14ac:dyDescent="0.3">
      <c r="A133" s="1192"/>
      <c r="B133" s="1201"/>
      <c r="C133" s="51" t="s">
        <v>17</v>
      </c>
      <c r="D133" s="462">
        <v>0.19120000000000001</v>
      </c>
      <c r="E133" s="441">
        <v>0.1</v>
      </c>
      <c r="F133" s="462">
        <f>+F131*1.3</f>
        <v>0.12740000000000001</v>
      </c>
      <c r="G133" s="462">
        <f>+G131*1.3</f>
        <v>0.25480000000000003</v>
      </c>
      <c r="H133" s="462">
        <v>0.44600000000000001</v>
      </c>
      <c r="I133" s="462">
        <f>+I131*1.3</f>
        <v>0</v>
      </c>
      <c r="J133" s="462">
        <v>1.2741</v>
      </c>
      <c r="K133" s="441">
        <f>+K131</f>
        <v>1.5</v>
      </c>
      <c r="L133" s="441">
        <f>+L131</f>
        <v>5</v>
      </c>
      <c r="M133" s="441">
        <f>+M131</f>
        <v>15</v>
      </c>
      <c r="N133" s="441">
        <f>+N131</f>
        <v>25</v>
      </c>
      <c r="O133" s="465"/>
      <c r="P133" s="466"/>
      <c r="Q133" s="466"/>
      <c r="R133" s="466"/>
      <c r="S133" s="441">
        <f>+S131</f>
        <v>60</v>
      </c>
      <c r="T133" s="441">
        <f>+T131</f>
        <v>8.5</v>
      </c>
      <c r="U133" s="26"/>
    </row>
    <row r="134" spans="1:22" ht="24.9" customHeight="1" x14ac:dyDescent="0.25">
      <c r="A134" s="1192"/>
      <c r="B134" s="1188" t="s">
        <v>26</v>
      </c>
      <c r="C134" s="95"/>
      <c r="D134" s="92">
        <v>0.17499999999999999</v>
      </c>
      <c r="E134" s="92">
        <v>5.8999999999999997E-2</v>
      </c>
      <c r="F134" s="92">
        <v>0.11700000000000001</v>
      </c>
      <c r="G134" s="92">
        <v>0.23400000000000001</v>
      </c>
      <c r="H134" s="92">
        <v>0.41</v>
      </c>
      <c r="I134" s="92"/>
      <c r="J134" s="92">
        <v>1.17</v>
      </c>
      <c r="K134" s="92">
        <v>2.6579999999999999</v>
      </c>
      <c r="L134" s="92">
        <v>4.4260000000000002</v>
      </c>
      <c r="M134" s="92">
        <v>12.1</v>
      </c>
      <c r="N134" s="92">
        <v>20.170999999999999</v>
      </c>
      <c r="O134" s="92">
        <v>3.1</v>
      </c>
      <c r="P134" s="92">
        <v>8.82</v>
      </c>
      <c r="Q134" s="92">
        <v>13.571999999999999</v>
      </c>
      <c r="R134" s="92">
        <v>0.125</v>
      </c>
      <c r="S134" s="92">
        <v>49.723999999999997</v>
      </c>
      <c r="T134" s="93">
        <v>4.9729999999999999</v>
      </c>
      <c r="U134" s="2"/>
    </row>
    <row r="135" spans="1:22" ht="24.9" customHeight="1" thickBot="1" x14ac:dyDescent="0.3">
      <c r="A135" s="1192"/>
      <c r="B135" s="1189"/>
      <c r="C135" s="96"/>
      <c r="D135" s="30">
        <f t="shared" ref="D135:T135" si="43">+(D134-D$92)/D$92</f>
        <v>0.10062893081760997</v>
      </c>
      <c r="E135" s="30">
        <f t="shared" si="43"/>
        <v>0.1132075471698113</v>
      </c>
      <c r="F135" s="30">
        <f t="shared" si="43"/>
        <v>0.10377358490566048</v>
      </c>
      <c r="G135" s="30">
        <f t="shared" si="43"/>
        <v>0.10377358490566048</v>
      </c>
      <c r="H135" s="30">
        <f t="shared" si="43"/>
        <v>0.10512129380053903</v>
      </c>
      <c r="I135" s="30"/>
      <c r="J135" s="30">
        <f t="shared" si="43"/>
        <v>0.10273327049952874</v>
      </c>
      <c r="K135" s="30">
        <f t="shared" si="43"/>
        <v>0.15565217391304353</v>
      </c>
      <c r="L135" s="30">
        <f t="shared" si="43"/>
        <v>0.15561357702349871</v>
      </c>
      <c r="M135" s="30">
        <f t="shared" si="43"/>
        <v>0.20999999999999996</v>
      </c>
      <c r="N135" s="30">
        <f t="shared" si="43"/>
        <v>0.21001799640071969</v>
      </c>
      <c r="O135" s="30"/>
      <c r="P135" s="30">
        <f t="shared" si="43"/>
        <v>0.10250000000000004</v>
      </c>
      <c r="Q135" s="30">
        <f t="shared" si="43"/>
        <v>0.10251827782290809</v>
      </c>
      <c r="R135" s="30">
        <f t="shared" si="43"/>
        <v>8.6956521739130391E-2</v>
      </c>
      <c r="S135" s="30">
        <f t="shared" si="43"/>
        <v>0.10250327043746253</v>
      </c>
      <c r="T135" s="30">
        <f t="shared" si="43"/>
        <v>0.1026607538802661</v>
      </c>
      <c r="U135" s="555"/>
    </row>
    <row r="136" spans="1:22" ht="24.9" customHeight="1" x14ac:dyDescent="0.25">
      <c r="A136" s="1192"/>
      <c r="B136" s="1198" t="s">
        <v>28</v>
      </c>
      <c r="C136" s="14" t="s">
        <v>16</v>
      </c>
      <c r="D136" s="46">
        <f>+D115+0.0122</f>
        <v>0.12739999999999999</v>
      </c>
      <c r="E136" s="46"/>
      <c r="F136" s="46">
        <f>+F115+0.0082</f>
        <v>8.4400000000000003E-2</v>
      </c>
      <c r="G136" s="46">
        <f>+G115+0.0164</f>
        <v>0.17080000000000001</v>
      </c>
      <c r="H136" s="46">
        <f>+H115+0.0288</f>
        <v>0.29659999999999997</v>
      </c>
      <c r="I136" s="46">
        <f>+I115+0.0122</f>
        <v>0.12739999999999999</v>
      </c>
      <c r="J136" s="46">
        <f>+J115+0.103</f>
        <v>1.0649999999999999</v>
      </c>
      <c r="K136" s="46">
        <f>+K115+0.1468</f>
        <v>1.9356</v>
      </c>
      <c r="L136" s="46">
        <v>6</v>
      </c>
      <c r="M136" s="46">
        <f>+M115+0.7338</f>
        <v>9.6786000000000012</v>
      </c>
      <c r="N136" s="46">
        <v>30</v>
      </c>
      <c r="O136" s="46"/>
      <c r="P136" s="46">
        <f>P115+0.2926</f>
        <v>7.7022000000000004</v>
      </c>
      <c r="Q136" s="46">
        <v>20</v>
      </c>
      <c r="R136" s="46">
        <f>R115+0.0092</f>
        <v>9.74E-2</v>
      </c>
      <c r="S136" s="46">
        <v>43.35</v>
      </c>
      <c r="T136" s="47"/>
      <c r="U136" s="2"/>
    </row>
    <row r="137" spans="1:22" ht="24.9" customHeight="1" x14ac:dyDescent="0.25">
      <c r="A137" s="1192"/>
      <c r="B137" s="1199"/>
      <c r="C137" s="15"/>
      <c r="D137" s="34">
        <f>+(D136-D$94)/D$94</f>
        <v>0.23689320388349508</v>
      </c>
      <c r="E137" s="34"/>
      <c r="F137" s="34">
        <f t="shared" ref="F137:N137" si="44">+(F136-F$94)/F$94</f>
        <v>0.24117647058823524</v>
      </c>
      <c r="G137" s="34">
        <f t="shared" si="44"/>
        <v>0.23768115942028981</v>
      </c>
      <c r="H137" s="34">
        <f t="shared" si="44"/>
        <v>0.24100418410041835</v>
      </c>
      <c r="I137" s="34">
        <f t="shared" si="44"/>
        <v>0.23689320388349508</v>
      </c>
      <c r="J137" s="34">
        <f t="shared" si="44"/>
        <v>0.23981373690337598</v>
      </c>
      <c r="K137" s="34">
        <f t="shared" si="44"/>
        <v>0.17880633373934232</v>
      </c>
      <c r="L137" s="34">
        <f t="shared" si="44"/>
        <v>0.2</v>
      </c>
      <c r="M137" s="34">
        <f t="shared" si="44"/>
        <v>0.17873584216295224</v>
      </c>
      <c r="N137" s="34">
        <f t="shared" si="44"/>
        <v>0.2</v>
      </c>
      <c r="O137" s="34"/>
      <c r="P137" s="34">
        <f>+(P136-P$94)/P$94</f>
        <v>8.222565687789804E-2</v>
      </c>
      <c r="Q137" s="34">
        <f>+(Q136-Q$94)/Q$94</f>
        <v>0</v>
      </c>
      <c r="R137" s="34">
        <f>+(R136-R$94)/R$94</f>
        <v>0.23291139240506328</v>
      </c>
      <c r="S137" s="34">
        <f>+(S136-S$94)/S$94</f>
        <v>0</v>
      </c>
      <c r="T137" s="34"/>
      <c r="U137" s="555"/>
      <c r="V137" s="1" t="s">
        <v>170</v>
      </c>
    </row>
    <row r="138" spans="1:22" ht="24.9" customHeight="1" x14ac:dyDescent="0.25">
      <c r="A138" s="1192"/>
      <c r="B138" s="1200"/>
      <c r="C138" s="53" t="s">
        <v>17</v>
      </c>
      <c r="D138" s="9">
        <f>+D117+0.006</f>
        <v>0.14600000000000002</v>
      </c>
      <c r="E138" s="9">
        <f>+E136*1.3</f>
        <v>0</v>
      </c>
      <c r="F138" s="9">
        <f>+F117+0.004</f>
        <v>9.7000000000000003E-2</v>
      </c>
      <c r="G138" s="9">
        <f>+G117+0.0082</f>
        <v>0.19540000000000002</v>
      </c>
      <c r="H138" s="9">
        <f>+H117+0.0144</f>
        <v>0.33980000000000005</v>
      </c>
      <c r="I138" s="9">
        <f>+I117+0.006</f>
        <v>0.14600000000000002</v>
      </c>
      <c r="J138" s="9">
        <f>+J117+0.0514</f>
        <v>1.2198000000000002</v>
      </c>
      <c r="K138" s="4">
        <f>+K117+0.1468</f>
        <v>1.9356</v>
      </c>
      <c r="L138" s="4">
        <f>+L117</f>
        <v>6</v>
      </c>
      <c r="M138" s="4">
        <f>+M117+0.7338</f>
        <v>9.6786000000000012</v>
      </c>
      <c r="N138" s="4">
        <f>+N117</f>
        <v>30</v>
      </c>
      <c r="O138" s="4"/>
      <c r="P138" s="4">
        <f>+P117+0.2926</f>
        <v>7.7022000000000004</v>
      </c>
      <c r="Q138" s="4">
        <f>+Q117</f>
        <v>20</v>
      </c>
      <c r="R138" s="9">
        <f>+R117+0.046</f>
        <v>0.15260000000000001</v>
      </c>
      <c r="S138" s="4">
        <f>+S117</f>
        <v>43.35</v>
      </c>
      <c r="T138" s="10"/>
      <c r="U138" s="8"/>
    </row>
    <row r="139" spans="1:22" ht="24.9" customHeight="1" thickBot="1" x14ac:dyDescent="0.3">
      <c r="A139" s="1192"/>
      <c r="B139" s="1201"/>
      <c r="C139" s="51" t="s">
        <v>22</v>
      </c>
      <c r="D139" s="11">
        <v>0.16400000000000001</v>
      </c>
      <c r="E139" s="11">
        <v>0</v>
      </c>
      <c r="F139" s="11">
        <v>0.10880000000000001</v>
      </c>
      <c r="G139" s="11">
        <v>0.22</v>
      </c>
      <c r="H139" s="11">
        <v>0.38300000000000001</v>
      </c>
      <c r="I139" s="11">
        <v>0.16400000000000001</v>
      </c>
      <c r="J139" s="11">
        <v>1.3744000000000001</v>
      </c>
      <c r="K139" s="5">
        <v>1.9356</v>
      </c>
      <c r="L139" s="5">
        <v>6</v>
      </c>
      <c r="M139" s="5">
        <v>9.6786000000000012</v>
      </c>
      <c r="N139" s="5">
        <v>30</v>
      </c>
      <c r="O139" s="5"/>
      <c r="P139" s="5">
        <v>7.7022000000000004</v>
      </c>
      <c r="Q139" s="5">
        <v>20</v>
      </c>
      <c r="R139" s="11">
        <v>0.15260000000000001</v>
      </c>
      <c r="S139" s="5">
        <v>43.35</v>
      </c>
      <c r="T139" s="6"/>
    </row>
    <row r="140" spans="1:22" ht="24.9" customHeight="1" x14ac:dyDescent="0.25">
      <c r="A140" s="1192"/>
      <c r="B140" s="1188" t="s">
        <v>29</v>
      </c>
      <c r="C140" s="15" t="s">
        <v>16</v>
      </c>
      <c r="D140" s="48">
        <v>0.15</v>
      </c>
      <c r="E140" s="48">
        <v>3.0000000000000001E-3</v>
      </c>
      <c r="F140" s="48">
        <v>0.12</v>
      </c>
      <c r="G140" s="48">
        <v>0.22</v>
      </c>
      <c r="H140" s="48">
        <v>0.35</v>
      </c>
      <c r="I140" s="48">
        <v>0.2</v>
      </c>
      <c r="J140" s="48">
        <v>1</v>
      </c>
      <c r="K140" s="49">
        <v>2.2000000000000002</v>
      </c>
      <c r="L140" s="48">
        <v>3.7</v>
      </c>
      <c r="M140" s="48">
        <v>12</v>
      </c>
      <c r="N140" s="48">
        <v>20</v>
      </c>
      <c r="O140" s="48">
        <v>1</v>
      </c>
      <c r="P140" s="48">
        <v>9</v>
      </c>
      <c r="Q140" s="48">
        <v>13.8</v>
      </c>
      <c r="R140" s="48">
        <v>0.1</v>
      </c>
      <c r="S140" s="48">
        <v>20</v>
      </c>
      <c r="T140" s="50">
        <v>2</v>
      </c>
      <c r="U140" s="2"/>
    </row>
    <row r="141" spans="1:22" ht="24.9" customHeight="1" x14ac:dyDescent="0.25">
      <c r="A141" s="1192"/>
      <c r="B141" s="1190"/>
      <c r="C141" s="28"/>
      <c r="D141" s="35">
        <f>+(D140-D$98)/D$98</f>
        <v>0</v>
      </c>
      <c r="E141" s="35">
        <f t="shared" ref="E141:N141" si="45">+(E140-E$98)/E$98</f>
        <v>0</v>
      </c>
      <c r="F141" s="35">
        <f t="shared" si="45"/>
        <v>0</v>
      </c>
      <c r="G141" s="35">
        <f t="shared" si="45"/>
        <v>0</v>
      </c>
      <c r="H141" s="35">
        <f t="shared" si="45"/>
        <v>0</v>
      </c>
      <c r="I141" s="35">
        <f t="shared" si="45"/>
        <v>0</v>
      </c>
      <c r="J141" s="35">
        <f t="shared" si="45"/>
        <v>0</v>
      </c>
      <c r="K141" s="35">
        <f t="shared" si="45"/>
        <v>0</v>
      </c>
      <c r="L141" s="35">
        <f t="shared" si="45"/>
        <v>0</v>
      </c>
      <c r="M141" s="35">
        <f t="shared" si="45"/>
        <v>0</v>
      </c>
      <c r="N141" s="35">
        <f t="shared" si="45"/>
        <v>0</v>
      </c>
      <c r="O141" s="35"/>
      <c r="P141" s="35">
        <f>+(P140-P$98)/P$98</f>
        <v>0</v>
      </c>
      <c r="Q141" s="35">
        <f>+(Q140-Q$98)/Q$98</f>
        <v>0</v>
      </c>
      <c r="R141" s="35">
        <f>+(R140-R$98)/R$98</f>
        <v>0</v>
      </c>
      <c r="S141" s="35">
        <f>+(S140-S$98)/S$98</f>
        <v>0</v>
      </c>
      <c r="T141" s="35">
        <f>+(T140-T$98)/T$98</f>
        <v>0</v>
      </c>
      <c r="U141" s="555"/>
      <c r="V141" s="1" t="s">
        <v>170</v>
      </c>
    </row>
    <row r="142" spans="1:22" ht="24.9" customHeight="1" thickBot="1" x14ac:dyDescent="0.3">
      <c r="A142" s="1193"/>
      <c r="B142" s="1189"/>
      <c r="C142" s="51" t="s">
        <v>17</v>
      </c>
      <c r="D142" s="5">
        <v>0.15</v>
      </c>
      <c r="E142" s="5">
        <v>3.0000000000000001E-3</v>
      </c>
      <c r="F142" s="5">
        <v>0.15</v>
      </c>
      <c r="G142" s="5">
        <v>0.27500000000000002</v>
      </c>
      <c r="H142" s="5">
        <v>0.44</v>
      </c>
      <c r="I142" s="5">
        <v>0.2</v>
      </c>
      <c r="J142" s="5">
        <v>1.25</v>
      </c>
      <c r="K142" s="16">
        <v>2.2000000000000002</v>
      </c>
      <c r="L142" s="5">
        <v>3.7</v>
      </c>
      <c r="M142" s="5">
        <v>12</v>
      </c>
      <c r="N142" s="5">
        <v>20</v>
      </c>
      <c r="O142" s="5">
        <v>1</v>
      </c>
      <c r="P142" s="5">
        <v>9</v>
      </c>
      <c r="Q142" s="5">
        <v>13.8</v>
      </c>
      <c r="R142" s="5">
        <v>0.1</v>
      </c>
      <c r="S142" s="5">
        <v>20</v>
      </c>
      <c r="T142" s="6">
        <v>2</v>
      </c>
    </row>
    <row r="143" spans="1:22" ht="24.9" customHeight="1" thickBot="1" x14ac:dyDescent="0.3"/>
    <row r="144" spans="1:22" ht="89.25" customHeight="1" x14ac:dyDescent="0.25">
      <c r="A144" s="36"/>
      <c r="B144" s="1194" t="s">
        <v>30</v>
      </c>
      <c r="C144" s="1195"/>
      <c r="D144" s="19" t="s">
        <v>0</v>
      </c>
      <c r="E144" s="19" t="s">
        <v>25</v>
      </c>
      <c r="F144" s="19" t="s">
        <v>1</v>
      </c>
      <c r="G144" s="19" t="s">
        <v>2</v>
      </c>
      <c r="H144" s="19" t="s">
        <v>13</v>
      </c>
      <c r="I144" s="19" t="s">
        <v>14</v>
      </c>
      <c r="J144" s="19" t="s">
        <v>10</v>
      </c>
      <c r="K144" s="19" t="s">
        <v>3</v>
      </c>
      <c r="L144" s="19" t="s">
        <v>4</v>
      </c>
      <c r="M144" s="19" t="s">
        <v>19</v>
      </c>
      <c r="N144" s="19" t="s">
        <v>20</v>
      </c>
      <c r="O144" s="19" t="s">
        <v>152</v>
      </c>
      <c r="P144" s="19" t="s">
        <v>5</v>
      </c>
      <c r="Q144" s="19" t="s">
        <v>6</v>
      </c>
      <c r="R144" s="19" t="s">
        <v>18</v>
      </c>
      <c r="S144" s="19" t="s">
        <v>7</v>
      </c>
      <c r="T144" s="20" t="s">
        <v>8</v>
      </c>
      <c r="U144" s="456"/>
    </row>
    <row r="145" spans="1:22" ht="24.75" customHeight="1" thickBot="1" x14ac:dyDescent="0.3">
      <c r="A145" s="37"/>
      <c r="B145" s="1196"/>
      <c r="C145" s="1197"/>
      <c r="D145" s="22" t="s">
        <v>9</v>
      </c>
      <c r="E145" s="22"/>
      <c r="F145" s="22" t="s">
        <v>9</v>
      </c>
      <c r="G145" s="22" t="s">
        <v>9</v>
      </c>
      <c r="H145" s="22" t="s">
        <v>9</v>
      </c>
      <c r="I145" s="22" t="s">
        <v>9</v>
      </c>
      <c r="J145" s="22" t="s">
        <v>9</v>
      </c>
      <c r="K145" s="22" t="s">
        <v>9</v>
      </c>
      <c r="L145" s="22" t="s">
        <v>9</v>
      </c>
      <c r="M145" s="22" t="s">
        <v>11</v>
      </c>
      <c r="N145" s="22" t="s">
        <v>11</v>
      </c>
      <c r="O145" s="22" t="s">
        <v>11</v>
      </c>
      <c r="P145" s="22" t="s">
        <v>9</v>
      </c>
      <c r="Q145" s="22" t="s">
        <v>9</v>
      </c>
      <c r="R145" s="22" t="s">
        <v>21</v>
      </c>
      <c r="S145" s="22" t="s">
        <v>12</v>
      </c>
      <c r="T145" s="23" t="s">
        <v>12</v>
      </c>
      <c r="U145" s="456"/>
    </row>
    <row r="146" spans="1:22" ht="24.9" customHeight="1" x14ac:dyDescent="0.25">
      <c r="A146" s="1192">
        <v>2015</v>
      </c>
      <c r="B146" s="1198" t="s">
        <v>23</v>
      </c>
      <c r="C146" s="1202" t="s">
        <v>16</v>
      </c>
      <c r="D146" s="31">
        <v>0.13</v>
      </c>
      <c r="E146" s="31"/>
      <c r="F146" s="31">
        <v>0.12</v>
      </c>
      <c r="G146" s="31">
        <v>0.16</v>
      </c>
      <c r="H146" s="31">
        <v>0.6</v>
      </c>
      <c r="I146" s="33">
        <v>0.15</v>
      </c>
      <c r="J146" s="31">
        <v>0.8</v>
      </c>
      <c r="K146" s="31">
        <v>3</v>
      </c>
      <c r="L146" s="31">
        <v>5.4</v>
      </c>
      <c r="M146" s="31">
        <v>12</v>
      </c>
      <c r="N146" s="31">
        <v>27</v>
      </c>
      <c r="O146" s="31"/>
      <c r="P146" s="31">
        <v>4.5</v>
      </c>
      <c r="Q146" s="31">
        <v>18</v>
      </c>
      <c r="R146" s="31"/>
      <c r="S146" s="31">
        <v>54</v>
      </c>
      <c r="T146" s="32">
        <v>3.8</v>
      </c>
      <c r="U146" s="554"/>
    </row>
    <row r="147" spans="1:22" ht="24.9" customHeight="1" x14ac:dyDescent="0.25">
      <c r="A147" s="1192"/>
      <c r="B147" s="1199"/>
      <c r="C147" s="1203"/>
      <c r="D147" s="24">
        <f>+(D146-D$83)/D$83</f>
        <v>0.10169491525423738</v>
      </c>
      <c r="E147" s="24"/>
      <c r="F147" s="24">
        <f t="shared" ref="F147:K147" si="46">+(F146-F$83)/F$83</f>
        <v>0.1999999999999999</v>
      </c>
      <c r="G147" s="24">
        <f t="shared" si="46"/>
        <v>-0.20000000000000004</v>
      </c>
      <c r="H147" s="24">
        <f t="shared" si="46"/>
        <v>2.2146507666098828E-2</v>
      </c>
      <c r="I147" s="24">
        <f t="shared" si="46"/>
        <v>4.8951048951049E-2</v>
      </c>
      <c r="J147" s="24">
        <f t="shared" si="46"/>
        <v>1.2408963585434176</v>
      </c>
      <c r="K147" s="24">
        <f t="shared" si="46"/>
        <v>0.33333333333333331</v>
      </c>
      <c r="L147" s="24">
        <f>+(L146-L$5)/L$5</f>
        <v>8.0000000000000071E-2</v>
      </c>
      <c r="M147" s="24">
        <f>+(M146-M$83)/M$83</f>
        <v>0.20967741935483872</v>
      </c>
      <c r="N147" s="24">
        <f>+(N146-N$5)/N$5</f>
        <v>0.08</v>
      </c>
      <c r="O147" s="24"/>
      <c r="P147" s="24">
        <f>+(P146-P$83)/P$83</f>
        <v>0.90677966101694929</v>
      </c>
      <c r="Q147" s="24">
        <f>+(Q146-Q$83)/Q$83</f>
        <v>0.52542372881355925</v>
      </c>
      <c r="R147" s="24"/>
      <c r="S147" s="24">
        <f>+(S146-S$83)/S$83</f>
        <v>0.22448979591836732</v>
      </c>
      <c r="T147" s="24">
        <f>+(T146-T$83)/T$83</f>
        <v>0.26666666666666661</v>
      </c>
      <c r="U147" s="555"/>
      <c r="V147" s="1" t="s">
        <v>170</v>
      </c>
    </row>
    <row r="148" spans="1:22" ht="24.9" customHeight="1" x14ac:dyDescent="0.25">
      <c r="A148" s="1192"/>
      <c r="B148" s="1200"/>
      <c r="C148" s="53" t="s">
        <v>17</v>
      </c>
      <c r="D148" s="9">
        <v>0.17</v>
      </c>
      <c r="E148" s="9"/>
      <c r="F148" s="9">
        <v>0.15</v>
      </c>
      <c r="G148" s="9">
        <v>0.25</v>
      </c>
      <c r="H148" s="9">
        <v>0.7</v>
      </c>
      <c r="I148" s="9">
        <v>0.22</v>
      </c>
      <c r="J148" s="9">
        <v>1.3</v>
      </c>
      <c r="K148" s="9">
        <v>3.2</v>
      </c>
      <c r="L148" s="9">
        <v>5.4</v>
      </c>
      <c r="M148" s="9">
        <v>13</v>
      </c>
      <c r="N148" s="9">
        <v>27</v>
      </c>
      <c r="O148" s="9"/>
      <c r="P148" s="9">
        <v>5</v>
      </c>
      <c r="Q148" s="9">
        <v>18</v>
      </c>
      <c r="R148" s="9">
        <f>+R146*1.16</f>
        <v>0</v>
      </c>
      <c r="S148" s="9">
        <v>54</v>
      </c>
      <c r="T148" s="10">
        <v>3.8</v>
      </c>
      <c r="U148" s="8"/>
    </row>
    <row r="149" spans="1:22" ht="24.9" customHeight="1" thickBot="1" x14ac:dyDescent="0.3">
      <c r="A149" s="1192"/>
      <c r="B149" s="1201"/>
      <c r="C149" s="51" t="s">
        <v>22</v>
      </c>
      <c r="D149" s="11">
        <v>0.21</v>
      </c>
      <c r="E149" s="11"/>
      <c r="F149" s="11">
        <v>0.17</v>
      </c>
      <c r="G149" s="11">
        <v>0.32</v>
      </c>
      <c r="H149" s="11">
        <v>0.7</v>
      </c>
      <c r="I149" s="11">
        <v>0.25</v>
      </c>
      <c r="J149" s="11">
        <v>1.6</v>
      </c>
      <c r="K149" s="11">
        <v>3.2</v>
      </c>
      <c r="L149" s="11">
        <v>5.4</v>
      </c>
      <c r="M149" s="11">
        <v>16</v>
      </c>
      <c r="N149" s="11">
        <v>27</v>
      </c>
      <c r="O149" s="11"/>
      <c r="P149" s="11">
        <v>6.5</v>
      </c>
      <c r="Q149" s="11">
        <v>18</v>
      </c>
      <c r="R149" s="11">
        <f>+R146*1.33</f>
        <v>0</v>
      </c>
      <c r="S149" s="11">
        <v>54</v>
      </c>
      <c r="T149" s="12">
        <v>3.8</v>
      </c>
      <c r="U149" s="8"/>
    </row>
    <row r="150" spans="1:22" ht="24.9" customHeight="1" x14ac:dyDescent="0.25">
      <c r="A150" s="1192"/>
      <c r="B150" s="1188" t="s">
        <v>24</v>
      </c>
      <c r="C150" s="95"/>
      <c r="D150" s="97">
        <v>0.124</v>
      </c>
      <c r="E150" s="97">
        <v>0.1</v>
      </c>
      <c r="F150" s="97">
        <v>7.6999999999999999E-2</v>
      </c>
      <c r="G150" s="97">
        <v>0.155</v>
      </c>
      <c r="H150" s="97">
        <v>0.31</v>
      </c>
      <c r="I150" s="97"/>
      <c r="J150" s="97">
        <v>0.42</v>
      </c>
      <c r="K150" s="97">
        <v>0.73</v>
      </c>
      <c r="L150" s="97">
        <v>6</v>
      </c>
      <c r="M150" s="97">
        <v>7</v>
      </c>
      <c r="N150" s="97">
        <v>30</v>
      </c>
      <c r="O150" s="97">
        <v>4</v>
      </c>
      <c r="P150" s="97">
        <v>0.88</v>
      </c>
      <c r="Q150" s="97">
        <v>20</v>
      </c>
      <c r="R150" s="97"/>
      <c r="S150" s="97">
        <v>13.1</v>
      </c>
      <c r="T150" s="98">
        <v>1.31</v>
      </c>
      <c r="U150" s="2"/>
    </row>
    <row r="151" spans="1:22" ht="24.9" customHeight="1" thickBot="1" x14ac:dyDescent="0.3">
      <c r="A151" s="1192"/>
      <c r="B151" s="1189"/>
      <c r="C151" s="99"/>
      <c r="D151" s="25">
        <f>+(D150-D$87)/D$87</f>
        <v>-0.29943502824858753</v>
      </c>
      <c r="E151" s="25" t="s">
        <v>173</v>
      </c>
      <c r="F151" s="25">
        <f>+(F150-F$87)/F$87</f>
        <v>5.4794520547945258E-2</v>
      </c>
      <c r="G151" s="25">
        <f>+(G150-G$87)/G$87</f>
        <v>6.1643835616438415E-2</v>
      </c>
      <c r="H151" s="25">
        <f>+(H150-H$87)/H$87</f>
        <v>6.5292096219931331E-2</v>
      </c>
      <c r="I151" s="25"/>
      <c r="J151" s="25">
        <f t="shared" ref="J151:P151" si="47">+(J150-J$87)/J$87</f>
        <v>6.5989847715735961E-2</v>
      </c>
      <c r="K151" s="25">
        <f t="shared" si="47"/>
        <v>6.5693430656934199E-2</v>
      </c>
      <c r="L151" s="25"/>
      <c r="M151" s="25">
        <f t="shared" si="47"/>
        <v>6.723585912486657E-2</v>
      </c>
      <c r="N151" s="25"/>
      <c r="O151" s="25"/>
      <c r="P151" s="25">
        <f t="shared" si="47"/>
        <v>5.8965102286401984E-2</v>
      </c>
      <c r="Q151" s="25"/>
      <c r="R151" s="25"/>
      <c r="S151" s="25">
        <f>+(S150-S$87)/S$87</f>
        <v>5.7304277643260619E-2</v>
      </c>
      <c r="T151" s="25">
        <f>+(T150-T$87)/T$87</f>
        <v>5.7304277643260654E-2</v>
      </c>
      <c r="U151" s="555"/>
      <c r="V151" s="3" t="s">
        <v>170</v>
      </c>
    </row>
    <row r="152" spans="1:22" ht="24.9" customHeight="1" x14ac:dyDescent="0.25">
      <c r="A152" s="1192"/>
      <c r="B152" s="1198" t="s">
        <v>27</v>
      </c>
      <c r="C152" s="14" t="s">
        <v>16</v>
      </c>
      <c r="D152" s="284">
        <v>0.14549999999999999</v>
      </c>
      <c r="E152" s="285">
        <v>0.1</v>
      </c>
      <c r="F152" s="284">
        <v>9.7000000000000003E-2</v>
      </c>
      <c r="G152" s="284">
        <v>0.19400000000000001</v>
      </c>
      <c r="H152" s="284">
        <v>0.33960000000000001</v>
      </c>
      <c r="I152" s="284" t="s">
        <v>148</v>
      </c>
      <c r="J152" s="284">
        <v>0.97030000000000005</v>
      </c>
      <c r="K152" s="285">
        <v>1.5</v>
      </c>
      <c r="L152" s="285">
        <v>5</v>
      </c>
      <c r="M152" s="285">
        <v>15</v>
      </c>
      <c r="N152" s="285">
        <v>25</v>
      </c>
      <c r="O152" s="285"/>
      <c r="P152" s="285" t="s">
        <v>148</v>
      </c>
      <c r="Q152" s="285" t="s">
        <v>148</v>
      </c>
      <c r="R152" s="285" t="s">
        <v>148</v>
      </c>
      <c r="S152" s="285">
        <v>60</v>
      </c>
      <c r="T152" s="288">
        <v>8.5</v>
      </c>
      <c r="U152" s="556"/>
    </row>
    <row r="153" spans="1:22" ht="24.9" customHeight="1" x14ac:dyDescent="0.25">
      <c r="A153" s="1192"/>
      <c r="B153" s="1190"/>
      <c r="C153" s="28"/>
      <c r="D153" s="38">
        <f>+(D152-D$89)/D$89</f>
        <v>-3.0000000000000027E-2</v>
      </c>
      <c r="E153" s="38">
        <f>+(E152-E$89)/E$89</f>
        <v>0</v>
      </c>
      <c r="F153" s="38">
        <f>+(F152-F$89)/F$89</f>
        <v>-3.0000000000000027E-2</v>
      </c>
      <c r="G153" s="38">
        <f>+(G152-G$89)/G$89</f>
        <v>-3.0000000000000027E-2</v>
      </c>
      <c r="H153" s="38">
        <f>+(H152-H$89)/H$89</f>
        <v>-2.9714285714285617E-2</v>
      </c>
      <c r="I153" s="38"/>
      <c r="J153" s="38">
        <f>+(J152-J$89)/J$89</f>
        <v>-2.9699999999999949E-2</v>
      </c>
      <c r="K153" s="38">
        <f>+(K152-K$89)/K$89</f>
        <v>0</v>
      </c>
      <c r="L153" s="38">
        <f>+(L152-L$89)/L$89</f>
        <v>0</v>
      </c>
      <c r="M153" s="38">
        <f>+(M152-M$89)/M$89</f>
        <v>0</v>
      </c>
      <c r="N153" s="38">
        <f>+(N152-N$89)/N$89</f>
        <v>0</v>
      </c>
      <c r="O153" s="289"/>
      <c r="P153" s="38"/>
      <c r="Q153" s="38"/>
      <c r="R153" s="38"/>
      <c r="S153" s="38">
        <f>+(S152-S$89)/S$89</f>
        <v>0</v>
      </c>
      <c r="T153" s="38">
        <f>+(T152-T$89)/T$89</f>
        <v>0</v>
      </c>
      <c r="U153" s="555"/>
      <c r="V153" s="1" t="s">
        <v>170</v>
      </c>
    </row>
    <row r="154" spans="1:22" ht="24.9" customHeight="1" thickBot="1" x14ac:dyDescent="0.3">
      <c r="A154" s="1192"/>
      <c r="B154" s="1201"/>
      <c r="C154" s="51" t="s">
        <v>17</v>
      </c>
      <c r="D154" s="462">
        <v>0.1893</v>
      </c>
      <c r="E154" s="441">
        <v>0.1</v>
      </c>
      <c r="F154" s="462">
        <f>+F152*1.3</f>
        <v>0.12610000000000002</v>
      </c>
      <c r="G154" s="462">
        <v>0.25230000000000002</v>
      </c>
      <c r="H154" s="462">
        <f>+H152*1.3</f>
        <v>0.44148000000000004</v>
      </c>
      <c r="I154" s="462">
        <f>+I152*1.3</f>
        <v>0</v>
      </c>
      <c r="J154" s="462">
        <f>+J152*1.3</f>
        <v>1.26139</v>
      </c>
      <c r="K154" s="463">
        <f>+K152</f>
        <v>1.5</v>
      </c>
      <c r="L154" s="441">
        <f>+L152</f>
        <v>5</v>
      </c>
      <c r="M154" s="441">
        <f>+M152</f>
        <v>15</v>
      </c>
      <c r="N154" s="441">
        <f>+N152</f>
        <v>25</v>
      </c>
      <c r="O154" s="441"/>
      <c r="P154" s="441"/>
      <c r="Q154" s="441"/>
      <c r="R154" s="441"/>
      <c r="S154" s="441">
        <f>+S152</f>
        <v>60</v>
      </c>
      <c r="T154" s="464">
        <f>+T152</f>
        <v>8.5</v>
      </c>
      <c r="U154" s="26"/>
    </row>
    <row r="155" spans="1:22" ht="24.9" customHeight="1" x14ac:dyDescent="0.25">
      <c r="A155" s="1192"/>
      <c r="B155" s="1188" t="s">
        <v>26</v>
      </c>
      <c r="C155" s="95"/>
      <c r="D155" s="92">
        <v>0.184</v>
      </c>
      <c r="E155" s="92">
        <v>6.2E-2</v>
      </c>
      <c r="F155" s="92">
        <v>0.123</v>
      </c>
      <c r="G155" s="92">
        <v>0.246</v>
      </c>
      <c r="H155" s="92">
        <v>0.43099999999999999</v>
      </c>
      <c r="I155" s="92"/>
      <c r="J155" s="92">
        <v>1.2290000000000001</v>
      </c>
      <c r="K155" s="92">
        <v>2.8570000000000002</v>
      </c>
      <c r="L155" s="92">
        <v>4.758</v>
      </c>
      <c r="M155" s="92">
        <v>13.31</v>
      </c>
      <c r="N155" s="92">
        <v>22.187999999999999</v>
      </c>
      <c r="O155" s="92">
        <v>3.3</v>
      </c>
      <c r="P155" s="92">
        <v>9.2609999999999992</v>
      </c>
      <c r="Q155" s="92">
        <v>14.250999999999999</v>
      </c>
      <c r="R155" s="92">
        <v>0.13100000000000001</v>
      </c>
      <c r="S155" s="92">
        <v>52.21</v>
      </c>
      <c r="T155" s="93">
        <v>5.2220000000000004</v>
      </c>
      <c r="U155" s="2"/>
    </row>
    <row r="156" spans="1:22" ht="24.9" customHeight="1" thickBot="1" x14ac:dyDescent="0.3">
      <c r="A156" s="1192"/>
      <c r="B156" s="1189"/>
      <c r="C156" s="96"/>
      <c r="D156" s="30">
        <f t="shared" ref="D156:T156" si="48">+(D155-D$92)/D$92</f>
        <v>0.15723270440251569</v>
      </c>
      <c r="E156" s="30">
        <f t="shared" si="48"/>
        <v>0.169811320754717</v>
      </c>
      <c r="F156" s="30">
        <f t="shared" si="48"/>
        <v>0.16037735849056606</v>
      </c>
      <c r="G156" s="30">
        <f t="shared" si="48"/>
        <v>0.16037735849056606</v>
      </c>
      <c r="H156" s="30">
        <f t="shared" si="48"/>
        <v>0.16172506738544473</v>
      </c>
      <c r="I156" s="30"/>
      <c r="J156" s="30">
        <f t="shared" si="48"/>
        <v>0.15834118755890683</v>
      </c>
      <c r="K156" s="30">
        <f t="shared" si="48"/>
        <v>0.24217391304347843</v>
      </c>
      <c r="L156" s="30">
        <f t="shared" si="48"/>
        <v>0.24229765013054827</v>
      </c>
      <c r="M156" s="30">
        <f t="shared" si="48"/>
        <v>0.33100000000000007</v>
      </c>
      <c r="N156" s="30">
        <f t="shared" si="48"/>
        <v>0.33101379724055169</v>
      </c>
      <c r="O156" s="30"/>
      <c r="P156" s="30">
        <f t="shared" si="48"/>
        <v>0.1576249999999999</v>
      </c>
      <c r="Q156" s="30">
        <f t="shared" si="48"/>
        <v>0.15767668562144588</v>
      </c>
      <c r="R156" s="30">
        <f t="shared" si="48"/>
        <v>0.1391304347826087</v>
      </c>
      <c r="S156" s="30">
        <f t="shared" si="48"/>
        <v>0.15762399946786107</v>
      </c>
      <c r="T156" s="30">
        <f t="shared" si="48"/>
        <v>0.15787139689578727</v>
      </c>
      <c r="U156" s="555"/>
    </row>
    <row r="157" spans="1:22" ht="24.9" customHeight="1" x14ac:dyDescent="0.25">
      <c r="A157" s="1192"/>
      <c r="B157" s="1198" t="s">
        <v>28</v>
      </c>
      <c r="C157" s="14" t="s">
        <v>16</v>
      </c>
      <c r="D157" s="46">
        <f>+D136+0.0122</f>
        <v>0.13959999999999997</v>
      </c>
      <c r="E157" s="46"/>
      <c r="F157" s="46">
        <f>+F136+0.0082</f>
        <v>9.2600000000000002E-2</v>
      </c>
      <c r="G157" s="46">
        <f>+G136+0.0164</f>
        <v>0.18720000000000001</v>
      </c>
      <c r="H157" s="46">
        <f>+H136+0.0288</f>
        <v>0.32539999999999997</v>
      </c>
      <c r="I157" s="46">
        <f>+I136+0.0122</f>
        <v>0.13959999999999997</v>
      </c>
      <c r="J157" s="46">
        <f>+J136+0.103</f>
        <v>1.1679999999999999</v>
      </c>
      <c r="K157" s="46">
        <f>+K136+0.1468</f>
        <v>2.0823999999999998</v>
      </c>
      <c r="L157" s="46">
        <v>6</v>
      </c>
      <c r="M157" s="46">
        <f>+M136+0.7338</f>
        <v>10.412400000000002</v>
      </c>
      <c r="N157" s="46">
        <v>30</v>
      </c>
      <c r="O157" s="46"/>
      <c r="P157" s="46">
        <f>P136+0.2926</f>
        <v>7.9948000000000006</v>
      </c>
      <c r="Q157" s="46">
        <v>20</v>
      </c>
      <c r="R157" s="46">
        <f>R136+0.0092</f>
        <v>0.1066</v>
      </c>
      <c r="S157" s="46">
        <v>43.35</v>
      </c>
      <c r="T157" s="47"/>
      <c r="U157" s="2"/>
    </row>
    <row r="158" spans="1:22" ht="24.9" customHeight="1" x14ac:dyDescent="0.25">
      <c r="A158" s="1192"/>
      <c r="B158" s="1199"/>
      <c r="C158" s="15"/>
      <c r="D158" s="34">
        <f>+(D157-D$94)/D$94</f>
        <v>0.35533980582524255</v>
      </c>
      <c r="E158" s="34"/>
      <c r="F158" s="34">
        <f t="shared" ref="F158:N158" si="49">+(F157-F$94)/F$94</f>
        <v>0.36176470588235288</v>
      </c>
      <c r="G158" s="34">
        <f t="shared" si="49"/>
        <v>0.35652173913043472</v>
      </c>
      <c r="H158" s="34">
        <f t="shared" si="49"/>
        <v>0.36150627615062753</v>
      </c>
      <c r="I158" s="34">
        <f t="shared" si="49"/>
        <v>0.35533980582524255</v>
      </c>
      <c r="J158" s="34">
        <f t="shared" si="49"/>
        <v>0.35972060535506395</v>
      </c>
      <c r="K158" s="34">
        <f t="shared" si="49"/>
        <v>0.26820950060901333</v>
      </c>
      <c r="L158" s="34">
        <f t="shared" si="49"/>
        <v>0.2</v>
      </c>
      <c r="M158" s="34">
        <f t="shared" si="49"/>
        <v>0.26810376324442836</v>
      </c>
      <c r="N158" s="34">
        <f t="shared" si="49"/>
        <v>0.2</v>
      </c>
      <c r="O158" s="34"/>
      <c r="P158" s="34">
        <f>+(P157-P$94)/P$94</f>
        <v>0.12333848531684707</v>
      </c>
      <c r="Q158" s="34">
        <f>+(Q157-Q$94)/Q$94</f>
        <v>0</v>
      </c>
      <c r="R158" s="34">
        <f>+(R157-R$94)/R$94</f>
        <v>0.34936708860759491</v>
      </c>
      <c r="S158" s="34">
        <f>+(S157-S$94)/S$94</f>
        <v>0</v>
      </c>
      <c r="T158" s="34"/>
      <c r="U158" s="555"/>
      <c r="V158" s="1" t="s">
        <v>170</v>
      </c>
    </row>
    <row r="159" spans="1:22" ht="24.9" customHeight="1" x14ac:dyDescent="0.25">
      <c r="A159" s="1192"/>
      <c r="B159" s="1200"/>
      <c r="C159" s="53" t="s">
        <v>17</v>
      </c>
      <c r="D159" s="9">
        <f>+D138+0.006</f>
        <v>0.15200000000000002</v>
      </c>
      <c r="E159" s="9">
        <f>+E157*1.3</f>
        <v>0</v>
      </c>
      <c r="F159" s="9">
        <f>+F138+0.004</f>
        <v>0.10100000000000001</v>
      </c>
      <c r="G159" s="9">
        <f>+G138+0.0082</f>
        <v>0.20360000000000003</v>
      </c>
      <c r="H159" s="9">
        <f>+H138+0.0144</f>
        <v>0.35420000000000007</v>
      </c>
      <c r="I159" s="9">
        <f>+I138+0.006</f>
        <v>0.15200000000000002</v>
      </c>
      <c r="J159" s="9">
        <f>+J138+0.0514</f>
        <v>1.2712000000000003</v>
      </c>
      <c r="K159" s="4">
        <f>+K138+0.1468</f>
        <v>2.0823999999999998</v>
      </c>
      <c r="L159" s="4">
        <f>+L138</f>
        <v>6</v>
      </c>
      <c r="M159" s="4">
        <f>+M138+0.7338</f>
        <v>10.412400000000002</v>
      </c>
      <c r="N159" s="4">
        <f>+N138</f>
        <v>30</v>
      </c>
      <c r="O159" s="4"/>
      <c r="P159" s="4">
        <f>+P138+0.2926</f>
        <v>7.9948000000000006</v>
      </c>
      <c r="Q159" s="4">
        <f>+Q138</f>
        <v>20</v>
      </c>
      <c r="R159" s="9">
        <f>+R138+0.046</f>
        <v>0.1986</v>
      </c>
      <c r="S159" s="4">
        <f>+S138</f>
        <v>43.35</v>
      </c>
      <c r="T159" s="10"/>
      <c r="U159" s="8"/>
    </row>
    <row r="160" spans="1:22" ht="24.9" customHeight="1" thickBot="1" x14ac:dyDescent="0.3">
      <c r="A160" s="1192"/>
      <c r="B160" s="1201"/>
      <c r="C160" s="51" t="s">
        <v>22</v>
      </c>
      <c r="D160" s="11">
        <v>0.16400000000000001</v>
      </c>
      <c r="E160" s="11">
        <v>0</v>
      </c>
      <c r="F160" s="11">
        <v>0.10880000000000001</v>
      </c>
      <c r="G160" s="11">
        <v>0.22</v>
      </c>
      <c r="H160" s="11">
        <v>0.38300000000000001</v>
      </c>
      <c r="I160" s="11">
        <v>0.16400000000000001</v>
      </c>
      <c r="J160" s="11">
        <v>1.3744000000000001</v>
      </c>
      <c r="K160" s="4">
        <f>+K139+0.1468</f>
        <v>2.0823999999999998</v>
      </c>
      <c r="L160" s="4">
        <f>+L139</f>
        <v>6</v>
      </c>
      <c r="M160" s="4">
        <f>+M139+0.7338</f>
        <v>10.412400000000002</v>
      </c>
      <c r="N160" s="4">
        <f>+N139</f>
        <v>30</v>
      </c>
      <c r="O160" s="4"/>
      <c r="P160" s="4">
        <f>+P139+0.2926</f>
        <v>7.9948000000000006</v>
      </c>
      <c r="Q160" s="4">
        <f>+Q139</f>
        <v>20</v>
      </c>
      <c r="R160" s="9">
        <f>+R139+0.046</f>
        <v>0.1986</v>
      </c>
      <c r="S160" s="4">
        <f>+S139</f>
        <v>43.35</v>
      </c>
      <c r="T160" s="6"/>
    </row>
    <row r="161" spans="1:23" ht="24.9" customHeight="1" x14ac:dyDescent="0.25">
      <c r="A161" s="1192"/>
      <c r="B161" s="1188" t="s">
        <v>29</v>
      </c>
      <c r="C161" s="15" t="s">
        <v>16</v>
      </c>
      <c r="D161" s="48">
        <v>0.15</v>
      </c>
      <c r="E161" s="48">
        <v>3.0000000000000001E-3</v>
      </c>
      <c r="F161" s="48">
        <v>0.12</v>
      </c>
      <c r="G161" s="48">
        <v>0.22</v>
      </c>
      <c r="H161" s="48">
        <v>0.35</v>
      </c>
      <c r="I161" s="48">
        <v>0.2</v>
      </c>
      <c r="J161" s="48">
        <v>1</v>
      </c>
      <c r="K161" s="49">
        <v>2.2000000000000002</v>
      </c>
      <c r="L161" s="48">
        <v>3.7</v>
      </c>
      <c r="M161" s="48">
        <v>12</v>
      </c>
      <c r="N161" s="48">
        <v>20</v>
      </c>
      <c r="O161" s="48">
        <v>1</v>
      </c>
      <c r="P161" s="48">
        <v>9</v>
      </c>
      <c r="Q161" s="48">
        <v>13.8</v>
      </c>
      <c r="R161" s="48">
        <v>0.1</v>
      </c>
      <c r="S161" s="48">
        <v>20</v>
      </c>
      <c r="T161" s="50">
        <v>2</v>
      </c>
      <c r="U161" s="2"/>
    </row>
    <row r="162" spans="1:23" ht="24.9" customHeight="1" x14ac:dyDescent="0.25">
      <c r="A162" s="1192"/>
      <c r="B162" s="1190"/>
      <c r="C162" s="28"/>
      <c r="D162" s="35">
        <f>+(D161-D$98)/D$98</f>
        <v>0</v>
      </c>
      <c r="E162" s="35">
        <f t="shared" ref="E162:N162" si="50">+(E161-E$98)/E$98</f>
        <v>0</v>
      </c>
      <c r="F162" s="35">
        <f t="shared" si="50"/>
        <v>0</v>
      </c>
      <c r="G162" s="35">
        <f t="shared" si="50"/>
        <v>0</v>
      </c>
      <c r="H162" s="35">
        <f t="shared" si="50"/>
        <v>0</v>
      </c>
      <c r="I162" s="35">
        <f t="shared" si="50"/>
        <v>0</v>
      </c>
      <c r="J162" s="35">
        <f t="shared" si="50"/>
        <v>0</v>
      </c>
      <c r="K162" s="35">
        <f t="shared" si="50"/>
        <v>0</v>
      </c>
      <c r="L162" s="35">
        <f t="shared" si="50"/>
        <v>0</v>
      </c>
      <c r="M162" s="35">
        <f t="shared" si="50"/>
        <v>0</v>
      </c>
      <c r="N162" s="35">
        <f t="shared" si="50"/>
        <v>0</v>
      </c>
      <c r="O162" s="35"/>
      <c r="P162" s="35">
        <f>+(P161-P$98)/P$98</f>
        <v>0</v>
      </c>
      <c r="Q162" s="35">
        <f>+(Q161-Q$98)/Q$98</f>
        <v>0</v>
      </c>
      <c r="R162" s="35">
        <f>+(R161-R$98)/R$98</f>
        <v>0</v>
      </c>
      <c r="S162" s="35">
        <f>+(S161-S$98)/S$98</f>
        <v>0</v>
      </c>
      <c r="T162" s="35">
        <f>+(T161-T$98)/T$98</f>
        <v>0</v>
      </c>
      <c r="U162" s="555"/>
      <c r="V162" s="1" t="s">
        <v>170</v>
      </c>
    </row>
    <row r="163" spans="1:23" ht="24.9" customHeight="1" thickBot="1" x14ac:dyDescent="0.3">
      <c r="A163" s="1193"/>
      <c r="B163" s="1189"/>
      <c r="C163" s="51" t="s">
        <v>17</v>
      </c>
      <c r="D163" s="5">
        <v>0.15</v>
      </c>
      <c r="E163" s="5">
        <v>3.0000000000000001E-3</v>
      </c>
      <c r="F163" s="5">
        <v>0.15</v>
      </c>
      <c r="G163" s="5">
        <v>0.27500000000000002</v>
      </c>
      <c r="H163" s="5">
        <v>0.44</v>
      </c>
      <c r="I163" s="5">
        <v>0.2</v>
      </c>
      <c r="J163" s="5">
        <v>1.25</v>
      </c>
      <c r="K163" s="16">
        <v>2.2000000000000002</v>
      </c>
      <c r="L163" s="5">
        <v>3.7</v>
      </c>
      <c r="M163" s="5">
        <v>12</v>
      </c>
      <c r="N163" s="5">
        <v>20</v>
      </c>
      <c r="O163" s="5">
        <v>1</v>
      </c>
      <c r="P163" s="5">
        <v>9</v>
      </c>
      <c r="Q163" s="5">
        <v>13.8</v>
      </c>
      <c r="R163" s="5">
        <v>0.1</v>
      </c>
      <c r="S163" s="5">
        <v>20</v>
      </c>
      <c r="T163" s="6">
        <v>2</v>
      </c>
    </row>
    <row r="164" spans="1:23" ht="24.9" customHeight="1" thickBot="1" x14ac:dyDescent="0.3"/>
    <row r="165" spans="1:23" ht="90" customHeight="1" x14ac:dyDescent="0.25">
      <c r="A165" s="36"/>
      <c r="B165" s="1194" t="s">
        <v>30</v>
      </c>
      <c r="C165" s="1195"/>
      <c r="D165" s="19" t="s">
        <v>0</v>
      </c>
      <c r="E165" s="19" t="s">
        <v>25</v>
      </c>
      <c r="F165" s="19" t="s">
        <v>1</v>
      </c>
      <c r="G165" s="19" t="s">
        <v>2</v>
      </c>
      <c r="H165" s="19" t="s">
        <v>13</v>
      </c>
      <c r="I165" s="19" t="s">
        <v>14</v>
      </c>
      <c r="J165" s="19" t="s">
        <v>10</v>
      </c>
      <c r="K165" s="19" t="s">
        <v>3</v>
      </c>
      <c r="L165" s="19" t="s">
        <v>4</v>
      </c>
      <c r="M165" s="19" t="s">
        <v>19</v>
      </c>
      <c r="N165" s="19" t="s">
        <v>20</v>
      </c>
      <c r="O165" s="19" t="s">
        <v>152</v>
      </c>
      <c r="P165" s="19" t="s">
        <v>5</v>
      </c>
      <c r="Q165" s="19" t="s">
        <v>6</v>
      </c>
      <c r="R165" s="19" t="s">
        <v>18</v>
      </c>
      <c r="S165" s="19" t="s">
        <v>7</v>
      </c>
      <c r="T165" s="559" t="s">
        <v>8</v>
      </c>
      <c r="U165" s="19" t="s">
        <v>199</v>
      </c>
      <c r="V165" s="580" t="s">
        <v>200</v>
      </c>
    </row>
    <row r="166" spans="1:23" ht="24.9" customHeight="1" thickBot="1" x14ac:dyDescent="0.3">
      <c r="A166" s="37"/>
      <c r="B166" s="1196"/>
      <c r="C166" s="1197"/>
      <c r="D166" s="22" t="s">
        <v>9</v>
      </c>
      <c r="E166" s="22"/>
      <c r="F166" s="22" t="s">
        <v>9</v>
      </c>
      <c r="G166" s="22" t="s">
        <v>9</v>
      </c>
      <c r="H166" s="22" t="s">
        <v>9</v>
      </c>
      <c r="I166" s="22" t="s">
        <v>9</v>
      </c>
      <c r="J166" s="22" t="s">
        <v>9</v>
      </c>
      <c r="K166" s="22" t="s">
        <v>9</v>
      </c>
      <c r="L166" s="22" t="s">
        <v>9</v>
      </c>
      <c r="M166" s="22" t="s">
        <v>11</v>
      </c>
      <c r="N166" s="22" t="s">
        <v>11</v>
      </c>
      <c r="O166" s="22" t="s">
        <v>11</v>
      </c>
      <c r="P166" s="22" t="s">
        <v>9</v>
      </c>
      <c r="Q166" s="22" t="s">
        <v>9</v>
      </c>
      <c r="R166" s="22" t="s">
        <v>21</v>
      </c>
      <c r="S166" s="22" t="s">
        <v>12</v>
      </c>
      <c r="T166" s="560" t="s">
        <v>12</v>
      </c>
      <c r="U166" s="22" t="s">
        <v>9</v>
      </c>
      <c r="V166" s="23" t="s">
        <v>9</v>
      </c>
    </row>
    <row r="167" spans="1:23" ht="24.9" customHeight="1" x14ac:dyDescent="0.25">
      <c r="A167" s="1192">
        <v>2016</v>
      </c>
      <c r="B167" s="1198" t="s">
        <v>23</v>
      </c>
      <c r="C167" s="1202" t="s">
        <v>16</v>
      </c>
      <c r="D167" s="31">
        <v>0.13</v>
      </c>
      <c r="E167" s="31"/>
      <c r="F167" s="31">
        <v>0.13</v>
      </c>
      <c r="G167" s="31">
        <v>0.17</v>
      </c>
      <c r="H167" s="31">
        <v>0.6</v>
      </c>
      <c r="I167" s="33">
        <v>0.17</v>
      </c>
      <c r="J167" s="31">
        <v>0.9</v>
      </c>
      <c r="K167" s="31">
        <v>3</v>
      </c>
      <c r="L167" s="31">
        <v>5.6</v>
      </c>
      <c r="M167" s="31">
        <v>13</v>
      </c>
      <c r="N167" s="31">
        <v>28</v>
      </c>
      <c r="O167" s="31"/>
      <c r="P167" s="31">
        <v>5.5</v>
      </c>
      <c r="Q167" s="31">
        <v>19</v>
      </c>
      <c r="R167" s="31"/>
      <c r="S167" s="31">
        <v>56</v>
      </c>
      <c r="T167" s="561">
        <v>4.2</v>
      </c>
      <c r="U167" s="31">
        <v>7.8</v>
      </c>
      <c r="V167" s="581">
        <v>13</v>
      </c>
    </row>
    <row r="168" spans="1:23" ht="24.9" customHeight="1" x14ac:dyDescent="0.25">
      <c r="A168" s="1192"/>
      <c r="B168" s="1199"/>
      <c r="C168" s="1203"/>
      <c r="D168" s="24">
        <f>+(D167-D$83)/D$83</f>
        <v>0.10169491525423738</v>
      </c>
      <c r="E168" s="24"/>
      <c r="F168" s="24">
        <f t="shared" ref="F168:K168" si="51">+(F167-F$83)/F$83</f>
        <v>0.3</v>
      </c>
      <c r="G168" s="24">
        <f t="shared" si="51"/>
        <v>-0.15</v>
      </c>
      <c r="H168" s="24">
        <f t="shared" si="51"/>
        <v>2.2146507666098828E-2</v>
      </c>
      <c r="I168" s="24">
        <f t="shared" si="51"/>
        <v>0.188811188811189</v>
      </c>
      <c r="J168" s="24">
        <f t="shared" si="51"/>
        <v>1.5210084033613447</v>
      </c>
      <c r="K168" s="24">
        <f t="shared" si="51"/>
        <v>0.33333333333333331</v>
      </c>
      <c r="L168" s="24">
        <f>+(L167-L$5)/L$5</f>
        <v>0.11999999999999993</v>
      </c>
      <c r="M168" s="24">
        <f>+(M167-M$83)/M$83</f>
        <v>0.31048387096774194</v>
      </c>
      <c r="N168" s="24">
        <f>+(N167-N$5)/N$5</f>
        <v>0.12</v>
      </c>
      <c r="O168" s="24"/>
      <c r="P168" s="24">
        <f>+(P167-P$83)/P$83</f>
        <v>1.3305084745762714</v>
      </c>
      <c r="Q168" s="24">
        <f>+(Q167-Q$83)/Q$83</f>
        <v>0.61016949152542366</v>
      </c>
      <c r="R168" s="24"/>
      <c r="S168" s="24">
        <f>+(S167-S$83)/S$83</f>
        <v>0.26984126984126983</v>
      </c>
      <c r="T168" s="562">
        <f>+(T167-T$83)/T$83</f>
        <v>0.40000000000000008</v>
      </c>
      <c r="U168" s="24" t="s">
        <v>173</v>
      </c>
      <c r="V168" s="582" t="s">
        <v>173</v>
      </c>
      <c r="W168" s="1" t="s">
        <v>170</v>
      </c>
    </row>
    <row r="169" spans="1:23" ht="24.9" customHeight="1" x14ac:dyDescent="0.25">
      <c r="A169" s="1192"/>
      <c r="B169" s="1200"/>
      <c r="C169" s="53" t="s">
        <v>17</v>
      </c>
      <c r="D169" s="9">
        <v>0.18</v>
      </c>
      <c r="E169" s="9"/>
      <c r="F169" s="9">
        <v>0.16</v>
      </c>
      <c r="G169" s="9">
        <v>0.26</v>
      </c>
      <c r="H169" s="9">
        <v>0.7</v>
      </c>
      <c r="I169" s="9">
        <v>0.23</v>
      </c>
      <c r="J169" s="9">
        <v>1.4</v>
      </c>
      <c r="K169" s="9">
        <v>3.4</v>
      </c>
      <c r="L169" s="9">
        <v>5.6</v>
      </c>
      <c r="M169" s="9">
        <v>14</v>
      </c>
      <c r="N169" s="9">
        <v>28</v>
      </c>
      <c r="O169" s="9"/>
      <c r="P169" s="9">
        <v>6.5</v>
      </c>
      <c r="Q169" s="9">
        <v>19</v>
      </c>
      <c r="R169" s="9">
        <f>+R167*1.16</f>
        <v>0</v>
      </c>
      <c r="S169" s="9">
        <v>56</v>
      </c>
      <c r="T169" s="563">
        <v>4.2</v>
      </c>
      <c r="U169" s="596">
        <v>8.6</v>
      </c>
      <c r="V169" s="583">
        <v>13</v>
      </c>
    </row>
    <row r="170" spans="1:23" ht="24.9" customHeight="1" thickBot="1" x14ac:dyDescent="0.3">
      <c r="A170" s="1192"/>
      <c r="B170" s="1201"/>
      <c r="C170" s="51" t="s">
        <v>22</v>
      </c>
      <c r="D170" s="11">
        <v>0.23</v>
      </c>
      <c r="E170" s="11"/>
      <c r="F170" s="11">
        <v>0.17</v>
      </c>
      <c r="G170" s="11">
        <v>0.34</v>
      </c>
      <c r="H170" s="11">
        <v>0.7</v>
      </c>
      <c r="I170" s="11">
        <v>0.27</v>
      </c>
      <c r="J170" s="11">
        <v>1.7</v>
      </c>
      <c r="K170" s="11">
        <v>3.4</v>
      </c>
      <c r="L170" s="11">
        <v>5.6</v>
      </c>
      <c r="M170" s="11">
        <v>16</v>
      </c>
      <c r="N170" s="11">
        <v>28</v>
      </c>
      <c r="O170" s="11"/>
      <c r="P170" s="11">
        <v>8.5</v>
      </c>
      <c r="Q170" s="11">
        <v>19</v>
      </c>
      <c r="R170" s="11">
        <f>+R167*1.33</f>
        <v>0</v>
      </c>
      <c r="S170" s="11">
        <v>56</v>
      </c>
      <c r="T170" s="564">
        <v>4.2</v>
      </c>
      <c r="U170" s="11">
        <v>9.1999999999999993</v>
      </c>
      <c r="V170" s="605">
        <v>13</v>
      </c>
    </row>
    <row r="171" spans="1:23" ht="24.9" customHeight="1" x14ac:dyDescent="0.25">
      <c r="A171" s="1192"/>
      <c r="B171" s="1188" t="s">
        <v>24</v>
      </c>
      <c r="C171" s="95"/>
      <c r="D171" s="97">
        <v>0.127</v>
      </c>
      <c r="E171" s="97">
        <v>0.1</v>
      </c>
      <c r="F171" s="97">
        <v>7.9000000000000001E-2</v>
      </c>
      <c r="G171" s="97">
        <v>0.158</v>
      </c>
      <c r="H171" s="97">
        <v>0.315</v>
      </c>
      <c r="I171" s="97"/>
      <c r="J171" s="97">
        <v>0.43</v>
      </c>
      <c r="K171" s="97">
        <v>0.74</v>
      </c>
      <c r="L171" s="97">
        <v>6</v>
      </c>
      <c r="M171" s="97">
        <v>7.1</v>
      </c>
      <c r="N171" s="97">
        <v>30</v>
      </c>
      <c r="O171" s="97">
        <v>4</v>
      </c>
      <c r="P171" s="97">
        <v>0.9</v>
      </c>
      <c r="Q171" s="97">
        <v>20</v>
      </c>
      <c r="R171" s="97"/>
      <c r="S171" s="97">
        <v>13.4</v>
      </c>
      <c r="T171" s="565">
        <v>1.34</v>
      </c>
      <c r="U171" s="597">
        <v>3</v>
      </c>
      <c r="V171" s="584">
        <v>3</v>
      </c>
    </row>
    <row r="172" spans="1:23" ht="24.9" customHeight="1" thickBot="1" x14ac:dyDescent="0.3">
      <c r="A172" s="1192"/>
      <c r="B172" s="1189"/>
      <c r="C172" s="99"/>
      <c r="D172" s="25">
        <f>+(D171-D$87)/D$87</f>
        <v>-0.28248587570621464</v>
      </c>
      <c r="E172" s="25" t="s">
        <v>173</v>
      </c>
      <c r="F172" s="25">
        <f>+(F171-F$87)/F$87</f>
        <v>8.2191780821917887E-2</v>
      </c>
      <c r="G172" s="25">
        <f>+(G171-G$87)/G$87</f>
        <v>8.2191780821917887E-2</v>
      </c>
      <c r="H172" s="25">
        <f>+(H171-H$87)/H$87</f>
        <v>8.2474226804123793E-2</v>
      </c>
      <c r="I172" s="25"/>
      <c r="J172" s="25">
        <f t="shared" ref="J172:P172" si="52">+(J171-J$87)/J$87</f>
        <v>9.1370558375634459E-2</v>
      </c>
      <c r="K172" s="25">
        <f t="shared" si="52"/>
        <v>8.029197080291961E-2</v>
      </c>
      <c r="L172" s="25"/>
      <c r="M172" s="25">
        <f t="shared" si="52"/>
        <v>8.2482085683793185E-2</v>
      </c>
      <c r="N172" s="25"/>
      <c r="O172" s="25"/>
      <c r="P172" s="25">
        <f t="shared" si="52"/>
        <v>8.3032490974729325E-2</v>
      </c>
      <c r="Q172" s="25"/>
      <c r="R172" s="25"/>
      <c r="S172" s="25">
        <f>+(S171-S$87)/S$87</f>
        <v>8.1517352703793358E-2</v>
      </c>
      <c r="T172" s="566">
        <f>+(T171-T$87)/T$87</f>
        <v>8.1517352703793358E-2</v>
      </c>
      <c r="U172" s="646" t="s">
        <v>173</v>
      </c>
      <c r="V172" s="647" t="s">
        <v>173</v>
      </c>
      <c r="W172" s="3" t="s">
        <v>170</v>
      </c>
    </row>
    <row r="173" spans="1:23" ht="24.9" customHeight="1" x14ac:dyDescent="0.25">
      <c r="A173" s="1192"/>
      <c r="B173" s="1198" t="s">
        <v>27</v>
      </c>
      <c r="C173" s="14" t="s">
        <v>16</v>
      </c>
      <c r="D173" s="284">
        <v>0.14399999999999999</v>
      </c>
      <c r="E173" s="285">
        <v>0.1</v>
      </c>
      <c r="F173" s="284">
        <v>9.6000000000000002E-2</v>
      </c>
      <c r="G173" s="284">
        <v>0.19209999999999999</v>
      </c>
      <c r="H173" s="284">
        <v>0.3362</v>
      </c>
      <c r="I173" s="284" t="s">
        <v>148</v>
      </c>
      <c r="J173" s="284">
        <v>0.96060000000000001</v>
      </c>
      <c r="K173" s="285">
        <v>1.5</v>
      </c>
      <c r="L173" s="285">
        <v>5</v>
      </c>
      <c r="M173" s="285">
        <v>15</v>
      </c>
      <c r="N173" s="285">
        <v>25</v>
      </c>
      <c r="O173" s="285"/>
      <c r="P173" s="285" t="s">
        <v>148</v>
      </c>
      <c r="Q173" s="285" t="s">
        <v>148</v>
      </c>
      <c r="R173" s="285" t="s">
        <v>148</v>
      </c>
      <c r="S173" s="285">
        <v>60</v>
      </c>
      <c r="T173" s="567">
        <v>8.5</v>
      </c>
      <c r="U173" s="599">
        <v>6</v>
      </c>
      <c r="V173" s="586">
        <v>11</v>
      </c>
    </row>
    <row r="174" spans="1:23" ht="24.9" customHeight="1" x14ac:dyDescent="0.25">
      <c r="A174" s="1192"/>
      <c r="B174" s="1190"/>
      <c r="C174" s="28"/>
      <c r="D174" s="38">
        <f>+(D173-D$89)/D$89</f>
        <v>-4.0000000000000036E-2</v>
      </c>
      <c r="E174" s="38">
        <f>+(E173-E$89)/E$89</f>
        <v>0</v>
      </c>
      <c r="F174" s="38">
        <f>+(F173-F$89)/F$89</f>
        <v>-4.0000000000000036E-2</v>
      </c>
      <c r="G174" s="38">
        <f>+(G173-G$89)/G$89</f>
        <v>-3.9500000000000091E-2</v>
      </c>
      <c r="H174" s="38">
        <f>+(H173-H$89)/H$89</f>
        <v>-3.9428571428571368E-2</v>
      </c>
      <c r="I174" s="38"/>
      <c r="J174" s="38">
        <f>+(J173-J$89)/J$89</f>
        <v>-3.9399999999999991E-2</v>
      </c>
      <c r="K174" s="38">
        <f>+(K173-K$89)/K$89</f>
        <v>0</v>
      </c>
      <c r="L174" s="38">
        <f>+(L173-L$89)/L$89</f>
        <v>0</v>
      </c>
      <c r="M174" s="38">
        <f>+(M173-M$89)/M$89</f>
        <v>0</v>
      </c>
      <c r="N174" s="38">
        <f>+(N173-N$89)/N$89</f>
        <v>0</v>
      </c>
      <c r="O174" s="289"/>
      <c r="P174" s="38"/>
      <c r="Q174" s="38"/>
      <c r="R174" s="38"/>
      <c r="S174" s="38">
        <f>+(S173-S$89)/S$89</f>
        <v>0</v>
      </c>
      <c r="T174" s="568">
        <f>+(T173-T$89)/T$89</f>
        <v>0</v>
      </c>
      <c r="U174" s="38" t="s">
        <v>173</v>
      </c>
      <c r="V174" s="587" t="s">
        <v>173</v>
      </c>
      <c r="W174" s="1" t="s">
        <v>170</v>
      </c>
    </row>
    <row r="175" spans="1:23" ht="24.9" customHeight="1" thickBot="1" x14ac:dyDescent="0.3">
      <c r="A175" s="1192"/>
      <c r="B175" s="1201"/>
      <c r="C175" s="51" t="s">
        <v>17</v>
      </c>
      <c r="D175" s="283">
        <v>0.18740000000000001</v>
      </c>
      <c r="E175" s="290">
        <v>0.1</v>
      </c>
      <c r="F175" s="283">
        <f>+F173*1.3</f>
        <v>0.12480000000000001</v>
      </c>
      <c r="G175" s="283">
        <v>0.24979999999999999</v>
      </c>
      <c r="H175" s="283">
        <f>+H173*1.3</f>
        <v>0.43706</v>
      </c>
      <c r="I175" s="283">
        <f>+I173*1.3</f>
        <v>0</v>
      </c>
      <c r="J175" s="283">
        <f>+J173*1.3</f>
        <v>1.24878</v>
      </c>
      <c r="K175" s="294">
        <f>+K173</f>
        <v>1.5</v>
      </c>
      <c r="L175" s="286">
        <f>+L173</f>
        <v>5</v>
      </c>
      <c r="M175" s="286">
        <f>+M173</f>
        <v>15</v>
      </c>
      <c r="N175" s="286">
        <f>+N173</f>
        <v>25</v>
      </c>
      <c r="O175" s="286"/>
      <c r="P175" s="286"/>
      <c r="Q175" s="286"/>
      <c r="R175" s="286"/>
      <c r="S175" s="286">
        <f>+S173</f>
        <v>60</v>
      </c>
      <c r="T175" s="569">
        <f>+T173</f>
        <v>8.5</v>
      </c>
      <c r="U175" s="600">
        <v>6</v>
      </c>
      <c r="V175" s="588">
        <v>11</v>
      </c>
    </row>
    <row r="176" spans="1:23" ht="24.9" customHeight="1" x14ac:dyDescent="0.25">
      <c r="A176" s="1192"/>
      <c r="B176" s="1188" t="s">
        <v>26</v>
      </c>
      <c r="C176" s="95"/>
      <c r="D176" s="92">
        <v>0.193</v>
      </c>
      <c r="E176" s="92">
        <v>6.5000000000000002E-2</v>
      </c>
      <c r="F176" s="92">
        <v>0.129</v>
      </c>
      <c r="G176" s="92">
        <v>0.25800000000000001</v>
      </c>
      <c r="H176" s="92">
        <v>0.45300000000000001</v>
      </c>
      <c r="I176" s="92"/>
      <c r="J176" s="92">
        <v>1.29</v>
      </c>
      <c r="K176" s="92">
        <v>3.0710000000000002</v>
      </c>
      <c r="L176" s="92">
        <v>5.1150000000000002</v>
      </c>
      <c r="M176" s="92">
        <v>14.641</v>
      </c>
      <c r="N176" s="92">
        <v>24.407</v>
      </c>
      <c r="O176" s="92">
        <v>3.5</v>
      </c>
      <c r="P176" s="92">
        <v>9.7240000000000002</v>
      </c>
      <c r="Q176" s="92">
        <v>14.964</v>
      </c>
      <c r="R176" s="92">
        <v>0.13700000000000001</v>
      </c>
      <c r="S176" s="92">
        <v>54.820999999999998</v>
      </c>
      <c r="T176" s="570">
        <v>5.4829999999999997</v>
      </c>
      <c r="U176" s="601">
        <v>4</v>
      </c>
      <c r="V176" s="589">
        <v>6.64</v>
      </c>
    </row>
    <row r="177" spans="1:23" ht="24.9" customHeight="1" thickBot="1" x14ac:dyDescent="0.3">
      <c r="A177" s="1192"/>
      <c r="B177" s="1189"/>
      <c r="C177" s="96"/>
      <c r="D177" s="30">
        <f t="shared" ref="D177:T177" si="53">+(D176-D$92)/D$92</f>
        <v>0.21383647798742139</v>
      </c>
      <c r="E177" s="30">
        <f t="shared" si="53"/>
        <v>0.22641509433962273</v>
      </c>
      <c r="F177" s="30">
        <f t="shared" si="53"/>
        <v>0.21698113207547176</v>
      </c>
      <c r="G177" s="30">
        <f t="shared" si="53"/>
        <v>0.21698113207547176</v>
      </c>
      <c r="H177" s="30">
        <f t="shared" si="53"/>
        <v>0.22102425876010787</v>
      </c>
      <c r="I177" s="30"/>
      <c r="J177" s="30">
        <f t="shared" si="53"/>
        <v>0.21583411875589076</v>
      </c>
      <c r="K177" s="30">
        <f t="shared" si="53"/>
        <v>0.33521739130434802</v>
      </c>
      <c r="L177" s="30">
        <f t="shared" si="53"/>
        <v>0.33550913838120106</v>
      </c>
      <c r="M177" s="30">
        <f t="shared" si="53"/>
        <v>0.46410000000000001</v>
      </c>
      <c r="N177" s="30">
        <f t="shared" si="53"/>
        <v>0.46412717456508684</v>
      </c>
      <c r="O177" s="30"/>
      <c r="P177" s="30">
        <f t="shared" si="53"/>
        <v>0.21550000000000002</v>
      </c>
      <c r="Q177" s="30">
        <f t="shared" si="53"/>
        <v>0.21559707554833468</v>
      </c>
      <c r="R177" s="30">
        <f t="shared" si="53"/>
        <v>0.19130434782608699</v>
      </c>
      <c r="S177" s="30">
        <f t="shared" si="53"/>
        <v>0.21551628566994077</v>
      </c>
      <c r="T177" s="571">
        <f t="shared" si="53"/>
        <v>0.21574279379157427</v>
      </c>
      <c r="U177" s="602" t="s">
        <v>173</v>
      </c>
      <c r="V177" s="590" t="s">
        <v>173</v>
      </c>
    </row>
    <row r="178" spans="1:23" ht="24.9" customHeight="1" x14ac:dyDescent="0.25">
      <c r="A178" s="1192"/>
      <c r="B178" s="1198" t="s">
        <v>28</v>
      </c>
      <c r="C178" s="14" t="s">
        <v>16</v>
      </c>
      <c r="D178" s="46">
        <f>+D157+0.0122</f>
        <v>0.15179999999999996</v>
      </c>
      <c r="E178" s="46"/>
      <c r="F178" s="46">
        <f>+F157+0.0082</f>
        <v>0.1008</v>
      </c>
      <c r="G178" s="46">
        <f>+G157+0.0164</f>
        <v>0.2036</v>
      </c>
      <c r="H178" s="46">
        <f>+H157+0.0288</f>
        <v>0.35419999999999996</v>
      </c>
      <c r="I178" s="46">
        <f>+I157+0.0122</f>
        <v>0.15179999999999996</v>
      </c>
      <c r="J178" s="46">
        <f>+J157+0.103</f>
        <v>1.2709999999999999</v>
      </c>
      <c r="K178" s="46">
        <f>+K157+0.1468</f>
        <v>2.2291999999999996</v>
      </c>
      <c r="L178" s="46">
        <v>6</v>
      </c>
      <c r="M178" s="46">
        <f>+M157+0.7338</f>
        <v>11.146200000000002</v>
      </c>
      <c r="N178" s="46">
        <v>30</v>
      </c>
      <c r="O178" s="46"/>
      <c r="P178" s="46">
        <f>P157+0.2926</f>
        <v>8.2873999999999999</v>
      </c>
      <c r="Q178" s="46">
        <v>20</v>
      </c>
      <c r="R178" s="46">
        <f>R157+0.0092</f>
        <v>0.1158</v>
      </c>
      <c r="S178" s="46">
        <v>43.35</v>
      </c>
      <c r="T178" s="572"/>
      <c r="U178" s="603">
        <v>4</v>
      </c>
      <c r="V178" s="591">
        <v>16.600000000000001</v>
      </c>
    </row>
    <row r="179" spans="1:23" ht="24.9" customHeight="1" x14ac:dyDescent="0.25">
      <c r="A179" s="1192"/>
      <c r="B179" s="1199"/>
      <c r="C179" s="15"/>
      <c r="D179" s="34">
        <f>+(D178-D$94)/D$94</f>
        <v>0.47378640776698999</v>
      </c>
      <c r="E179" s="34"/>
      <c r="F179" s="34">
        <f t="shared" ref="F179:N179" si="54">+(F178-F$94)/F$94</f>
        <v>0.48235294117647048</v>
      </c>
      <c r="G179" s="34">
        <f t="shared" si="54"/>
        <v>0.47536231884057961</v>
      </c>
      <c r="H179" s="34">
        <f t="shared" si="54"/>
        <v>0.4820083682008367</v>
      </c>
      <c r="I179" s="34">
        <f t="shared" si="54"/>
        <v>0.47378640776698999</v>
      </c>
      <c r="J179" s="34">
        <f t="shared" si="54"/>
        <v>0.47962747380675197</v>
      </c>
      <c r="K179" s="34">
        <f t="shared" si="54"/>
        <v>0.35761266747868437</v>
      </c>
      <c r="L179" s="34">
        <f t="shared" si="54"/>
        <v>0.2</v>
      </c>
      <c r="M179" s="34">
        <f t="shared" si="54"/>
        <v>0.35747168432590448</v>
      </c>
      <c r="N179" s="34">
        <f t="shared" si="54"/>
        <v>0.2</v>
      </c>
      <c r="O179" s="34"/>
      <c r="P179" s="34">
        <f>+(P178-P$94)/P$94</f>
        <v>0.16445131375579597</v>
      </c>
      <c r="Q179" s="34">
        <f>+(Q178-Q$94)/Q$94</f>
        <v>0</v>
      </c>
      <c r="R179" s="34">
        <f>+(R178-R$94)/R$94</f>
        <v>0.46582278481012657</v>
      </c>
      <c r="S179" s="34">
        <f>+(S178-S$94)/S$94</f>
        <v>0</v>
      </c>
      <c r="T179" s="573"/>
      <c r="U179" s="34" t="s">
        <v>173</v>
      </c>
      <c r="V179" s="592" t="s">
        <v>173</v>
      </c>
      <c r="W179" s="1" t="s">
        <v>170</v>
      </c>
    </row>
    <row r="180" spans="1:23" ht="24.9" customHeight="1" x14ac:dyDescent="0.25">
      <c r="A180" s="1192"/>
      <c r="B180" s="1200"/>
      <c r="C180" s="53" t="s">
        <v>17</v>
      </c>
      <c r="D180" s="9">
        <f>+D159+0.006</f>
        <v>0.15800000000000003</v>
      </c>
      <c r="E180" s="9">
        <f>+E178*1.3</f>
        <v>0</v>
      </c>
      <c r="F180" s="9">
        <f>+F159+0.004</f>
        <v>0.10500000000000001</v>
      </c>
      <c r="G180" s="9">
        <f>+G159+0.0082</f>
        <v>0.21180000000000004</v>
      </c>
      <c r="H180" s="9">
        <f>+H159+0.0144</f>
        <v>0.36860000000000009</v>
      </c>
      <c r="I180" s="9">
        <f>+I159+0.006</f>
        <v>0.15800000000000003</v>
      </c>
      <c r="J180" s="9">
        <f>+J159+0.0514</f>
        <v>1.3226000000000004</v>
      </c>
      <c r="K180" s="4">
        <f>+K159+0.1468</f>
        <v>2.2291999999999996</v>
      </c>
      <c r="L180" s="4">
        <f>+L159</f>
        <v>6</v>
      </c>
      <c r="M180" s="4">
        <f>+M159+0.7338</f>
        <v>11.146200000000002</v>
      </c>
      <c r="N180" s="4">
        <f>+N159</f>
        <v>30</v>
      </c>
      <c r="O180" s="4"/>
      <c r="P180" s="4">
        <f>+P159+0.2926</f>
        <v>8.2873999999999999</v>
      </c>
      <c r="Q180" s="4">
        <f>+Q159</f>
        <v>20</v>
      </c>
      <c r="R180" s="9">
        <f>+R159+0.046</f>
        <v>0.24459999999999998</v>
      </c>
      <c r="S180" s="4">
        <f>+S159</f>
        <v>43.35</v>
      </c>
      <c r="T180" s="563"/>
      <c r="U180" s="631">
        <v>4</v>
      </c>
      <c r="V180" s="632">
        <v>16.600000000000001</v>
      </c>
    </row>
    <row r="181" spans="1:23" ht="24.9" customHeight="1" thickBot="1" x14ac:dyDescent="0.3">
      <c r="A181" s="1192"/>
      <c r="B181" s="1201"/>
      <c r="C181" s="51" t="s">
        <v>22</v>
      </c>
      <c r="D181" s="11">
        <v>0.16400000000000001</v>
      </c>
      <c r="E181" s="11">
        <v>0</v>
      </c>
      <c r="F181" s="11">
        <v>0.10880000000000001</v>
      </c>
      <c r="G181" s="11">
        <v>0.22</v>
      </c>
      <c r="H181" s="11">
        <v>0.38300000000000001</v>
      </c>
      <c r="I181" s="11">
        <v>0.16400000000000001</v>
      </c>
      <c r="J181" s="11">
        <v>1.3744000000000001</v>
      </c>
      <c r="K181" s="5">
        <v>2.2291999999999996</v>
      </c>
      <c r="L181" s="5">
        <v>6</v>
      </c>
      <c r="M181" s="5">
        <v>11.146200000000002</v>
      </c>
      <c r="N181" s="5">
        <v>30</v>
      </c>
      <c r="O181" s="5"/>
      <c r="P181" s="5">
        <v>8.2873999999999999</v>
      </c>
      <c r="Q181" s="5">
        <v>20</v>
      </c>
      <c r="R181" s="11">
        <v>0.24459999999999998</v>
      </c>
      <c r="S181" s="5">
        <v>43.35</v>
      </c>
      <c r="T181" s="574"/>
      <c r="U181" s="648">
        <v>4</v>
      </c>
      <c r="V181" s="649">
        <v>16.600000000000001</v>
      </c>
    </row>
    <row r="182" spans="1:23" ht="24.9" customHeight="1" x14ac:dyDescent="0.25">
      <c r="A182" s="1192"/>
      <c r="B182" s="1188" t="s">
        <v>29</v>
      </c>
      <c r="C182" s="15" t="s">
        <v>16</v>
      </c>
      <c r="D182" s="48">
        <v>0.15</v>
      </c>
      <c r="E182" s="48">
        <v>0.09</v>
      </c>
      <c r="F182" s="48">
        <v>0.12</v>
      </c>
      <c r="G182" s="48">
        <v>0.22</v>
      </c>
      <c r="H182" s="48">
        <v>0.35</v>
      </c>
      <c r="I182" s="48">
        <v>0.2</v>
      </c>
      <c r="J182" s="48">
        <v>1</v>
      </c>
      <c r="K182" s="49">
        <v>2.2000000000000002</v>
      </c>
      <c r="L182" s="48">
        <v>3.7</v>
      </c>
      <c r="M182" s="48">
        <v>12</v>
      </c>
      <c r="N182" s="48">
        <v>20</v>
      </c>
      <c r="O182" s="48">
        <v>1</v>
      </c>
      <c r="P182" s="48">
        <v>9</v>
      </c>
      <c r="Q182" s="48">
        <v>13.8</v>
      </c>
      <c r="R182" s="48">
        <v>0.1</v>
      </c>
      <c r="S182" s="48">
        <v>20</v>
      </c>
      <c r="T182" s="575">
        <v>2</v>
      </c>
      <c r="U182" s="48">
        <v>3</v>
      </c>
      <c r="V182" s="594">
        <v>3</v>
      </c>
    </row>
    <row r="183" spans="1:23" ht="24.9" customHeight="1" x14ac:dyDescent="0.25">
      <c r="A183" s="1192"/>
      <c r="B183" s="1190"/>
      <c r="C183" s="28"/>
      <c r="D183" s="35">
        <f>+(D182-D$98)/D$98</f>
        <v>0</v>
      </c>
      <c r="E183" s="35">
        <f t="shared" ref="E183:N183" si="55">+(E182-E$98)/E$98</f>
        <v>28.999999999999996</v>
      </c>
      <c r="F183" s="35">
        <f t="shared" si="55"/>
        <v>0</v>
      </c>
      <c r="G183" s="35">
        <f t="shared" si="55"/>
        <v>0</v>
      </c>
      <c r="H183" s="35">
        <f t="shared" si="55"/>
        <v>0</v>
      </c>
      <c r="I183" s="35">
        <f t="shared" si="55"/>
        <v>0</v>
      </c>
      <c r="J183" s="35">
        <f t="shared" si="55"/>
        <v>0</v>
      </c>
      <c r="K183" s="35">
        <f t="shared" si="55"/>
        <v>0</v>
      </c>
      <c r="L183" s="35">
        <f t="shared" si="55"/>
        <v>0</v>
      </c>
      <c r="M183" s="35">
        <f t="shared" si="55"/>
        <v>0</v>
      </c>
      <c r="N183" s="35">
        <f t="shared" si="55"/>
        <v>0</v>
      </c>
      <c r="O183" s="35"/>
      <c r="P183" s="35">
        <f>+(P182-P$98)/P$98</f>
        <v>0</v>
      </c>
      <c r="Q183" s="35">
        <f>+(Q182-Q$98)/Q$98</f>
        <v>0</v>
      </c>
      <c r="R183" s="35">
        <f>+(R182-R$98)/R$98</f>
        <v>0</v>
      </c>
      <c r="S183" s="35">
        <f>+(S182-S$98)/S$98</f>
        <v>0</v>
      </c>
      <c r="T183" s="576">
        <f>+(T182-T$98)/T$98</f>
        <v>0</v>
      </c>
      <c r="U183" s="35" t="s">
        <v>173</v>
      </c>
      <c r="V183" s="595" t="s">
        <v>173</v>
      </c>
      <c r="W183" s="1" t="s">
        <v>170</v>
      </c>
    </row>
    <row r="184" spans="1:23" ht="24.9" customHeight="1" thickBot="1" x14ac:dyDescent="0.3">
      <c r="A184" s="1193"/>
      <c r="B184" s="1189"/>
      <c r="C184" s="51" t="s">
        <v>17</v>
      </c>
      <c r="D184" s="5">
        <v>0.15</v>
      </c>
      <c r="E184" s="5"/>
      <c r="F184" s="5">
        <v>0.15</v>
      </c>
      <c r="G184" s="5">
        <v>0.27500000000000002</v>
      </c>
      <c r="H184" s="5">
        <v>0.44</v>
      </c>
      <c r="I184" s="5">
        <v>0.2</v>
      </c>
      <c r="J184" s="5">
        <v>1.25</v>
      </c>
      <c r="K184" s="16">
        <v>2.2000000000000002</v>
      </c>
      <c r="L184" s="5">
        <v>3.7</v>
      </c>
      <c r="M184" s="5">
        <v>12</v>
      </c>
      <c r="N184" s="5">
        <v>20</v>
      </c>
      <c r="O184" s="5">
        <v>1</v>
      </c>
      <c r="P184" s="5">
        <v>9</v>
      </c>
      <c r="Q184" s="5">
        <v>13.8</v>
      </c>
      <c r="R184" s="5">
        <v>0.1</v>
      </c>
      <c r="S184" s="5">
        <v>20</v>
      </c>
      <c r="T184" s="574">
        <v>2</v>
      </c>
      <c r="U184" s="604"/>
      <c r="V184" s="593"/>
    </row>
    <row r="185" spans="1:23" ht="24.9" customHeight="1" thickBot="1" x14ac:dyDescent="0.3"/>
    <row r="186" spans="1:23" ht="91.5" customHeight="1" x14ac:dyDescent="0.25">
      <c r="A186" s="36"/>
      <c r="B186" s="1194" t="s">
        <v>30</v>
      </c>
      <c r="C186" s="1195"/>
      <c r="D186" s="19" t="s">
        <v>0</v>
      </c>
      <c r="E186" s="19" t="s">
        <v>25</v>
      </c>
      <c r="F186" s="19" t="s">
        <v>1</v>
      </c>
      <c r="G186" s="19" t="s">
        <v>2</v>
      </c>
      <c r="H186" s="19" t="s">
        <v>13</v>
      </c>
      <c r="I186" s="19" t="s">
        <v>14</v>
      </c>
      <c r="J186" s="19" t="s">
        <v>10</v>
      </c>
      <c r="K186" s="19" t="s">
        <v>3</v>
      </c>
      <c r="L186" s="19" t="s">
        <v>4</v>
      </c>
      <c r="M186" s="19" t="s">
        <v>19</v>
      </c>
      <c r="N186" s="19" t="s">
        <v>20</v>
      </c>
      <c r="O186" s="19" t="s">
        <v>152</v>
      </c>
      <c r="P186" s="19" t="s">
        <v>5</v>
      </c>
      <c r="Q186" s="19" t="s">
        <v>6</v>
      </c>
      <c r="R186" s="19" t="s">
        <v>18</v>
      </c>
      <c r="S186" s="19" t="s">
        <v>7</v>
      </c>
      <c r="T186" s="559" t="s">
        <v>8</v>
      </c>
      <c r="U186" s="19" t="s">
        <v>199</v>
      </c>
      <c r="V186" s="580" t="s">
        <v>200</v>
      </c>
    </row>
    <row r="187" spans="1:23" ht="24.9" customHeight="1" thickBot="1" x14ac:dyDescent="0.3">
      <c r="A187" s="37"/>
      <c r="B187" s="1196"/>
      <c r="C187" s="1197"/>
      <c r="D187" s="22" t="s">
        <v>9</v>
      </c>
      <c r="E187" s="22"/>
      <c r="F187" s="22" t="s">
        <v>9</v>
      </c>
      <c r="G187" s="22" t="s">
        <v>9</v>
      </c>
      <c r="H187" s="22" t="s">
        <v>9</v>
      </c>
      <c r="I187" s="22" t="s">
        <v>9</v>
      </c>
      <c r="J187" s="22" t="s">
        <v>9</v>
      </c>
      <c r="K187" s="22" t="s">
        <v>9</v>
      </c>
      <c r="L187" s="22" t="s">
        <v>9</v>
      </c>
      <c r="M187" s="22" t="s">
        <v>11</v>
      </c>
      <c r="N187" s="22" t="s">
        <v>11</v>
      </c>
      <c r="O187" s="22" t="s">
        <v>11</v>
      </c>
      <c r="P187" s="22" t="s">
        <v>9</v>
      </c>
      <c r="Q187" s="22" t="s">
        <v>9</v>
      </c>
      <c r="R187" s="22" t="s">
        <v>21</v>
      </c>
      <c r="S187" s="22" t="s">
        <v>12</v>
      </c>
      <c r="T187" s="560" t="s">
        <v>12</v>
      </c>
      <c r="U187" s="22" t="s">
        <v>9</v>
      </c>
      <c r="V187" s="23" t="s">
        <v>9</v>
      </c>
    </row>
    <row r="188" spans="1:23" ht="24.9" customHeight="1" x14ac:dyDescent="0.25">
      <c r="A188" s="1192">
        <v>2017</v>
      </c>
      <c r="B188" s="1198" t="s">
        <v>23</v>
      </c>
      <c r="C188" s="1202" t="s">
        <v>16</v>
      </c>
      <c r="D188" s="31">
        <v>0.14000000000000001</v>
      </c>
      <c r="E188" s="31"/>
      <c r="F188" s="31">
        <v>0.14000000000000001</v>
      </c>
      <c r="G188" s="31">
        <v>0.17</v>
      </c>
      <c r="H188" s="31">
        <v>0.6</v>
      </c>
      <c r="I188" s="33">
        <v>0.17</v>
      </c>
      <c r="J188" s="31">
        <v>1.1000000000000001</v>
      </c>
      <c r="K188" s="31">
        <v>3</v>
      </c>
      <c r="L188" s="31">
        <v>5.6</v>
      </c>
      <c r="M188" s="31">
        <v>14</v>
      </c>
      <c r="N188" s="31">
        <v>29</v>
      </c>
      <c r="O188" s="31"/>
      <c r="P188" s="31">
        <v>6.5</v>
      </c>
      <c r="Q188" s="31">
        <v>19</v>
      </c>
      <c r="R188" s="31"/>
      <c r="S188" s="31">
        <v>58</v>
      </c>
      <c r="T188" s="561">
        <v>4.5999999999999996</v>
      </c>
      <c r="U188" s="31">
        <v>8</v>
      </c>
      <c r="V188" s="581">
        <v>15</v>
      </c>
    </row>
    <row r="189" spans="1:23" ht="24.9" customHeight="1" x14ac:dyDescent="0.25">
      <c r="A189" s="1192"/>
      <c r="B189" s="1199"/>
      <c r="C189" s="1203"/>
      <c r="D189" s="24">
        <f>+(D188-D$83)/D$83</f>
        <v>0.18644067796610186</v>
      </c>
      <c r="E189" s="24"/>
      <c r="F189" s="24">
        <f t="shared" ref="F189:K189" si="56">+(F188-F$83)/F$83</f>
        <v>0.40000000000000008</v>
      </c>
      <c r="G189" s="24">
        <f t="shared" si="56"/>
        <v>-0.15</v>
      </c>
      <c r="H189" s="24">
        <f t="shared" si="56"/>
        <v>2.2146507666098828E-2</v>
      </c>
      <c r="I189" s="24">
        <f t="shared" si="56"/>
        <v>0.188811188811189</v>
      </c>
      <c r="J189" s="24">
        <f t="shared" si="56"/>
        <v>2.0812324929971995</v>
      </c>
      <c r="K189" s="24">
        <f t="shared" si="56"/>
        <v>0.33333333333333331</v>
      </c>
      <c r="L189" s="24">
        <f>+(L188-L$5)/L$5</f>
        <v>0.11999999999999993</v>
      </c>
      <c r="M189" s="24">
        <f>+(M188-M$83)/M$83</f>
        <v>0.41129032258064518</v>
      </c>
      <c r="N189" s="101">
        <f>+(N188-N$5)/N$5</f>
        <v>0.16</v>
      </c>
      <c r="O189" s="101"/>
      <c r="P189" s="24">
        <f>+(P188-P$83)/P$83</f>
        <v>1.7542372881355937</v>
      </c>
      <c r="Q189" s="24">
        <f>+(Q188-Q$83)/Q$83</f>
        <v>0.61016949152542366</v>
      </c>
      <c r="R189" s="24"/>
      <c r="S189" s="24">
        <f>+(S188-S$83)/S$83</f>
        <v>0.31519274376417228</v>
      </c>
      <c r="T189" s="562">
        <f>+(T188-T$83)/T$83</f>
        <v>0.53333333333333321</v>
      </c>
      <c r="U189" s="24"/>
      <c r="V189" s="582"/>
      <c r="W189" s="1" t="s">
        <v>170</v>
      </c>
    </row>
    <row r="190" spans="1:23" ht="24.9" customHeight="1" x14ac:dyDescent="0.25">
      <c r="A190" s="1192"/>
      <c r="B190" s="1200"/>
      <c r="C190" s="53" t="s">
        <v>17</v>
      </c>
      <c r="D190" s="9">
        <v>0.19</v>
      </c>
      <c r="E190" s="9"/>
      <c r="F190" s="9">
        <v>0.16</v>
      </c>
      <c r="G190" s="9">
        <v>0.27</v>
      </c>
      <c r="H190" s="9">
        <v>0.7</v>
      </c>
      <c r="I190" s="9">
        <v>0.24</v>
      </c>
      <c r="J190" s="9">
        <v>1.6</v>
      </c>
      <c r="K190" s="9">
        <v>3.5</v>
      </c>
      <c r="L190" s="9">
        <v>5.6</v>
      </c>
      <c r="M190" s="9">
        <v>15</v>
      </c>
      <c r="N190" s="102">
        <v>29</v>
      </c>
      <c r="O190" s="102"/>
      <c r="P190" s="9">
        <v>7</v>
      </c>
      <c r="Q190" s="9">
        <v>19</v>
      </c>
      <c r="R190" s="9">
        <f>+R188*1.16</f>
        <v>0</v>
      </c>
      <c r="S190" s="9">
        <v>58</v>
      </c>
      <c r="T190" s="563">
        <v>4.5999999999999996</v>
      </c>
      <c r="U190" s="650">
        <v>8.9</v>
      </c>
      <c r="V190" s="583">
        <v>15</v>
      </c>
    </row>
    <row r="191" spans="1:23" ht="24.9" customHeight="1" thickBot="1" x14ac:dyDescent="0.3">
      <c r="A191" s="1192"/>
      <c r="B191" s="1201"/>
      <c r="C191" s="51" t="s">
        <v>22</v>
      </c>
      <c r="D191" s="11">
        <v>0.24</v>
      </c>
      <c r="E191" s="11"/>
      <c r="F191" s="11">
        <v>0.18</v>
      </c>
      <c r="G191" s="11">
        <v>0.35</v>
      </c>
      <c r="H191" s="11">
        <v>0.7</v>
      </c>
      <c r="I191" s="11">
        <v>0.28000000000000003</v>
      </c>
      <c r="J191" s="11">
        <v>1.8</v>
      </c>
      <c r="K191" s="11">
        <v>3.5</v>
      </c>
      <c r="L191" s="11">
        <v>5.6</v>
      </c>
      <c r="M191" s="11">
        <v>17</v>
      </c>
      <c r="N191" s="103">
        <v>29</v>
      </c>
      <c r="O191" s="103"/>
      <c r="P191" s="11">
        <v>10</v>
      </c>
      <c r="Q191" s="11">
        <v>19</v>
      </c>
      <c r="R191" s="11">
        <f>+R188*1.33</f>
        <v>0</v>
      </c>
      <c r="S191" s="11">
        <v>58</v>
      </c>
      <c r="T191" s="564">
        <v>4.5999999999999996</v>
      </c>
      <c r="U191" s="606">
        <v>9.6</v>
      </c>
      <c r="V191" s="607">
        <v>15</v>
      </c>
    </row>
    <row r="192" spans="1:23" ht="24.9" customHeight="1" x14ac:dyDescent="0.25">
      <c r="A192" s="1192"/>
      <c r="B192" s="1188" t="s">
        <v>24</v>
      </c>
      <c r="C192" s="95"/>
      <c r="D192" s="97">
        <v>0.129</v>
      </c>
      <c r="E192" s="97">
        <v>0.1</v>
      </c>
      <c r="F192" s="97">
        <v>8.1000000000000003E-2</v>
      </c>
      <c r="G192" s="97">
        <v>0.161</v>
      </c>
      <c r="H192" s="97">
        <v>0.32</v>
      </c>
      <c r="I192" s="97"/>
      <c r="J192" s="97">
        <v>0.44</v>
      </c>
      <c r="K192" s="97">
        <v>0.76</v>
      </c>
      <c r="L192" s="97">
        <v>6</v>
      </c>
      <c r="M192" s="97">
        <v>7.2</v>
      </c>
      <c r="N192" s="97">
        <v>30</v>
      </c>
      <c r="O192" s="97">
        <v>4</v>
      </c>
      <c r="P192" s="97">
        <v>0.92</v>
      </c>
      <c r="Q192" s="97">
        <v>20</v>
      </c>
      <c r="R192" s="97"/>
      <c r="S192" s="97">
        <v>13.7</v>
      </c>
      <c r="T192" s="565">
        <v>1.37</v>
      </c>
      <c r="U192" s="97">
        <v>4</v>
      </c>
      <c r="V192" s="608">
        <v>4</v>
      </c>
    </row>
    <row r="193" spans="1:23" ht="24.9" customHeight="1" thickBot="1" x14ac:dyDescent="0.3">
      <c r="A193" s="1192"/>
      <c r="B193" s="1189"/>
      <c r="C193" s="99"/>
      <c r="D193" s="25">
        <f>+(D192-D$87)/D$87</f>
        <v>-0.27118644067796605</v>
      </c>
      <c r="E193" s="25" t="s">
        <v>173</v>
      </c>
      <c r="F193" s="25">
        <f>+(F192-F$87)/F$87</f>
        <v>0.10958904109589052</v>
      </c>
      <c r="G193" s="25">
        <f>+(G192-G$87)/G$87</f>
        <v>0.10273972602739735</v>
      </c>
      <c r="H193" s="25">
        <f>+(H192-H$87)/H$87</f>
        <v>9.9656357388316241E-2</v>
      </c>
      <c r="I193" s="25"/>
      <c r="J193" s="25">
        <f t="shared" ref="J193:P193" si="57">+(J192-J$87)/J$87</f>
        <v>0.11675126903553296</v>
      </c>
      <c r="K193" s="25">
        <f t="shared" si="57"/>
        <v>0.10948905109489043</v>
      </c>
      <c r="L193" s="25"/>
      <c r="M193" s="25">
        <f t="shared" si="57"/>
        <v>9.7728312242719925E-2</v>
      </c>
      <c r="N193" s="25"/>
      <c r="O193" s="25"/>
      <c r="P193" s="25">
        <f t="shared" si="57"/>
        <v>0.10709987966305666</v>
      </c>
      <c r="Q193" s="25"/>
      <c r="R193" s="25"/>
      <c r="S193" s="25">
        <f>+(S192-S$87)/S$87</f>
        <v>0.10573042776432597</v>
      </c>
      <c r="T193" s="566">
        <f>+(T192-T$87)/T$87</f>
        <v>0.10573042776432606</v>
      </c>
      <c r="U193" s="598"/>
      <c r="V193" s="585"/>
      <c r="W193" s="1" t="s">
        <v>170</v>
      </c>
    </row>
    <row r="194" spans="1:23" ht="24.9" customHeight="1" x14ac:dyDescent="0.25">
      <c r="A194" s="1192"/>
      <c r="B194" s="1198" t="s">
        <v>27</v>
      </c>
      <c r="C194" s="14" t="s">
        <v>16</v>
      </c>
      <c r="D194" s="284">
        <v>0.1426</v>
      </c>
      <c r="E194" s="285">
        <v>0.1</v>
      </c>
      <c r="F194" s="284">
        <v>9.5000000000000001E-2</v>
      </c>
      <c r="G194" s="284">
        <v>0.19020000000000001</v>
      </c>
      <c r="H194" s="284">
        <v>0.33279999999999998</v>
      </c>
      <c r="I194" s="284" t="s">
        <v>148</v>
      </c>
      <c r="J194" s="284">
        <v>0.95099999999999996</v>
      </c>
      <c r="K194" s="285">
        <v>1.5</v>
      </c>
      <c r="L194" s="285">
        <v>5</v>
      </c>
      <c r="M194" s="285">
        <v>15</v>
      </c>
      <c r="N194" s="285">
        <v>25</v>
      </c>
      <c r="O194" s="285"/>
      <c r="P194" s="285" t="s">
        <v>148</v>
      </c>
      <c r="Q194" s="285" t="s">
        <v>148</v>
      </c>
      <c r="R194" s="285" t="s">
        <v>148</v>
      </c>
      <c r="S194" s="285">
        <v>60</v>
      </c>
      <c r="T194" s="567">
        <v>8.5</v>
      </c>
      <c r="U194" s="599">
        <v>7</v>
      </c>
      <c r="V194" s="586">
        <v>12</v>
      </c>
    </row>
    <row r="195" spans="1:23" ht="24.9" customHeight="1" x14ac:dyDescent="0.25">
      <c r="A195" s="1192"/>
      <c r="B195" s="1190"/>
      <c r="C195" s="28"/>
      <c r="D195" s="38">
        <f>+(D194-D$89)/D$89</f>
        <v>-4.9333333333333271E-2</v>
      </c>
      <c r="E195" s="38">
        <f>+(E194-E$89)/E$89</f>
        <v>0</v>
      </c>
      <c r="F195" s="38">
        <f>+(F194-F$89)/F$89</f>
        <v>-5.0000000000000044E-2</v>
      </c>
      <c r="G195" s="38">
        <f>+(G194-G$89)/G$89</f>
        <v>-4.9000000000000016E-2</v>
      </c>
      <c r="H195" s="38">
        <f>+(H194-H$89)/H$89</f>
        <v>-4.9142857142857127E-2</v>
      </c>
      <c r="I195" s="38"/>
      <c r="J195" s="38">
        <f>+(J194-J$89)/J$89</f>
        <v>-4.9000000000000044E-2</v>
      </c>
      <c r="K195" s="38">
        <f>+(K194-K$89)/K$89</f>
        <v>0</v>
      </c>
      <c r="L195" s="38">
        <f>+(L194-L$89)/L$89</f>
        <v>0</v>
      </c>
      <c r="M195" s="38">
        <f>+(M194-M$89)/M$89</f>
        <v>0</v>
      </c>
      <c r="N195" s="38">
        <f>+(N194-N$89)/N$89</f>
        <v>0</v>
      </c>
      <c r="O195" s="289"/>
      <c r="P195" s="38"/>
      <c r="Q195" s="38"/>
      <c r="R195" s="38"/>
      <c r="S195" s="38">
        <f>+(S194-S$89)/S$89</f>
        <v>0</v>
      </c>
      <c r="T195" s="568">
        <f>+(T194-T$89)/T$89</f>
        <v>0</v>
      </c>
      <c r="U195" s="38"/>
      <c r="V195" s="587"/>
      <c r="W195" s="1" t="s">
        <v>170</v>
      </c>
    </row>
    <row r="196" spans="1:23" ht="24.9" customHeight="1" thickBot="1" x14ac:dyDescent="0.3">
      <c r="A196" s="1192"/>
      <c r="B196" s="1201"/>
      <c r="C196" s="51" t="s">
        <v>17</v>
      </c>
      <c r="D196" s="283">
        <v>0.1855</v>
      </c>
      <c r="E196" s="441">
        <v>0.1</v>
      </c>
      <c r="F196" s="283">
        <v>0.1236</v>
      </c>
      <c r="G196" s="283">
        <v>0.24729999999999999</v>
      </c>
      <c r="H196" s="283">
        <v>0.43269999999999997</v>
      </c>
      <c r="I196" s="283">
        <f>+I194*1.3</f>
        <v>0</v>
      </c>
      <c r="J196" s="283">
        <f>+J194*1.3</f>
        <v>1.2363</v>
      </c>
      <c r="K196" s="29">
        <f>+K194</f>
        <v>1.5</v>
      </c>
      <c r="L196" s="286">
        <f>+L194</f>
        <v>5</v>
      </c>
      <c r="M196" s="286">
        <f>+M194</f>
        <v>15</v>
      </c>
      <c r="N196" s="286">
        <f>+N194</f>
        <v>25</v>
      </c>
      <c r="O196" s="286"/>
      <c r="P196" s="286"/>
      <c r="Q196" s="286"/>
      <c r="R196" s="286"/>
      <c r="S196" s="286">
        <f>+S194</f>
        <v>60</v>
      </c>
      <c r="T196" s="569">
        <f>+T194</f>
        <v>8.5</v>
      </c>
      <c r="U196" s="600">
        <v>7</v>
      </c>
      <c r="V196" s="588">
        <v>12</v>
      </c>
    </row>
    <row r="197" spans="1:23" ht="24.9" customHeight="1" x14ac:dyDescent="0.25">
      <c r="A197" s="1192"/>
      <c r="B197" s="1188" t="s">
        <v>26</v>
      </c>
      <c r="C197" s="95"/>
      <c r="D197" s="92">
        <v>0.20300000000000001</v>
      </c>
      <c r="E197" s="92">
        <v>6.8000000000000005E-2</v>
      </c>
      <c r="F197" s="92">
        <v>0.13500000000000001</v>
      </c>
      <c r="G197" s="92">
        <v>0.27100000000000002</v>
      </c>
      <c r="H197" s="92">
        <v>0.47599999999999998</v>
      </c>
      <c r="I197" s="92"/>
      <c r="J197" s="92">
        <v>1.355</v>
      </c>
      <c r="K197" s="92">
        <v>3.3010000000000002</v>
      </c>
      <c r="L197" s="92">
        <v>5.4989999999999997</v>
      </c>
      <c r="M197" s="92">
        <v>16.105</v>
      </c>
      <c r="N197" s="92">
        <v>26.847999999999999</v>
      </c>
      <c r="O197" s="92">
        <v>3.7</v>
      </c>
      <c r="P197" s="92">
        <v>10.210000000000001</v>
      </c>
      <c r="Q197" s="92">
        <v>15.712</v>
      </c>
      <c r="R197" s="92">
        <v>0.14299999999999999</v>
      </c>
      <c r="S197" s="92">
        <v>57.561999999999998</v>
      </c>
      <c r="T197" s="570">
        <v>5.7370000000000001</v>
      </c>
      <c r="U197" s="601">
        <v>5</v>
      </c>
      <c r="V197" s="589">
        <v>8.3000000000000007</v>
      </c>
    </row>
    <row r="198" spans="1:23" ht="24.9" customHeight="1" thickBot="1" x14ac:dyDescent="0.3">
      <c r="A198" s="1192"/>
      <c r="B198" s="1189"/>
      <c r="C198" s="96"/>
      <c r="D198" s="30">
        <f t="shared" ref="D198:T198" si="58">+(D197-D$92)/D$92</f>
        <v>0.27672955974842772</v>
      </c>
      <c r="E198" s="30">
        <f t="shared" si="58"/>
        <v>0.28301886792452841</v>
      </c>
      <c r="F198" s="30">
        <f t="shared" si="58"/>
        <v>0.27358490566037746</v>
      </c>
      <c r="G198" s="30">
        <f t="shared" si="58"/>
        <v>0.27830188679245293</v>
      </c>
      <c r="H198" s="30">
        <f t="shared" si="58"/>
        <v>0.28301886792452824</v>
      </c>
      <c r="I198" s="30"/>
      <c r="J198" s="30">
        <f t="shared" si="58"/>
        <v>0.27709707822808677</v>
      </c>
      <c r="K198" s="30">
        <f t="shared" si="58"/>
        <v>0.435217391304348</v>
      </c>
      <c r="L198" s="30">
        <f t="shared" si="58"/>
        <v>0.43577023498694506</v>
      </c>
      <c r="M198" s="30">
        <f t="shared" si="58"/>
        <v>0.61050000000000004</v>
      </c>
      <c r="N198" s="30">
        <f t="shared" si="58"/>
        <v>0.61055788842231529</v>
      </c>
      <c r="O198" s="30"/>
      <c r="P198" s="30">
        <f t="shared" si="58"/>
        <v>0.27625000000000011</v>
      </c>
      <c r="Q198" s="30">
        <f t="shared" si="58"/>
        <v>0.27636068237205519</v>
      </c>
      <c r="R198" s="30">
        <f t="shared" si="58"/>
        <v>0.24347826086956506</v>
      </c>
      <c r="S198" s="30">
        <f t="shared" si="58"/>
        <v>0.27629099133056911</v>
      </c>
      <c r="T198" s="571">
        <f t="shared" si="58"/>
        <v>0.27206208425720629</v>
      </c>
      <c r="U198" s="602"/>
      <c r="V198" s="590"/>
    </row>
    <row r="199" spans="1:23" ht="24.9" customHeight="1" x14ac:dyDescent="0.25">
      <c r="A199" s="1192"/>
      <c r="B199" s="1198" t="s">
        <v>28</v>
      </c>
      <c r="C199" s="14" t="s">
        <v>16</v>
      </c>
      <c r="D199" s="46">
        <f>+D178+0.0122</f>
        <v>0.16399999999999995</v>
      </c>
      <c r="E199" s="46"/>
      <c r="F199" s="46">
        <f>+F178+0.0082</f>
        <v>0.109</v>
      </c>
      <c r="G199" s="46">
        <f>+G178+0.0164</f>
        <v>0.22</v>
      </c>
      <c r="H199" s="46">
        <f>+H178+0.0288</f>
        <v>0.38299999999999995</v>
      </c>
      <c r="I199" s="46">
        <f>+I178+0.0122</f>
        <v>0.16399999999999995</v>
      </c>
      <c r="J199" s="46">
        <f>+J178+0.103</f>
        <v>1.3739999999999999</v>
      </c>
      <c r="K199" s="46">
        <f>+K178+0.1468</f>
        <v>2.3759999999999994</v>
      </c>
      <c r="L199" s="46">
        <v>6</v>
      </c>
      <c r="M199" s="46">
        <f>+M178+0.7338</f>
        <v>11.880000000000003</v>
      </c>
      <c r="N199" s="46">
        <v>30</v>
      </c>
      <c r="O199" s="46"/>
      <c r="P199" s="46">
        <f>P178+0.2926</f>
        <v>8.58</v>
      </c>
      <c r="Q199" s="46">
        <v>20</v>
      </c>
      <c r="R199" s="46">
        <f>R178+0.0092</f>
        <v>0.125</v>
      </c>
      <c r="S199" s="46">
        <v>43.35</v>
      </c>
      <c r="T199" s="572"/>
      <c r="U199" s="603">
        <v>5</v>
      </c>
      <c r="V199" s="591">
        <v>16.600000000000001</v>
      </c>
    </row>
    <row r="200" spans="1:23" ht="24.9" customHeight="1" x14ac:dyDescent="0.25">
      <c r="A200" s="1192"/>
      <c r="B200" s="1199"/>
      <c r="C200" s="15"/>
      <c r="D200" s="34">
        <f>+(D199-D$94)/D$94</f>
        <v>0.59223300970873749</v>
      </c>
      <c r="E200" s="34"/>
      <c r="F200" s="34">
        <f t="shared" ref="F200:N200" si="59">+(F199-F$94)/F$94</f>
        <v>0.60294117647058809</v>
      </c>
      <c r="G200" s="34">
        <f t="shared" si="59"/>
        <v>0.5942028985507245</v>
      </c>
      <c r="H200" s="34">
        <f t="shared" si="59"/>
        <v>0.60251046025104593</v>
      </c>
      <c r="I200" s="34">
        <f t="shared" si="59"/>
        <v>0.59223300970873749</v>
      </c>
      <c r="J200" s="34">
        <f t="shared" si="59"/>
        <v>0.59953434225843993</v>
      </c>
      <c r="K200" s="34">
        <f t="shared" si="59"/>
        <v>0.4470158343483554</v>
      </c>
      <c r="L200" s="34">
        <f t="shared" si="59"/>
        <v>0.2</v>
      </c>
      <c r="M200" s="34">
        <f t="shared" si="59"/>
        <v>0.4468396054073806</v>
      </c>
      <c r="N200" s="34">
        <f t="shared" si="59"/>
        <v>0.2</v>
      </c>
      <c r="O200" s="34"/>
      <c r="P200" s="34">
        <f>+(P199-P$94)/P$94</f>
        <v>0.20556414219474498</v>
      </c>
      <c r="Q200" s="34">
        <f>+(Q199-Q$94)/Q$94</f>
        <v>0</v>
      </c>
      <c r="R200" s="34">
        <f>+(R199-R$94)/R$94</f>
        <v>0.58227848101265822</v>
      </c>
      <c r="S200" s="34">
        <f>+(S199-S$94)/S$94</f>
        <v>0</v>
      </c>
      <c r="T200" s="573"/>
      <c r="U200" s="34"/>
      <c r="V200" s="592"/>
      <c r="W200" s="1" t="s">
        <v>170</v>
      </c>
    </row>
    <row r="201" spans="1:23" ht="24.9" customHeight="1" x14ac:dyDescent="0.25">
      <c r="A201" s="1192"/>
      <c r="B201" s="1200"/>
      <c r="C201" s="53" t="s">
        <v>17</v>
      </c>
      <c r="D201" s="9">
        <f>+D180+0.006</f>
        <v>0.16400000000000003</v>
      </c>
      <c r="E201" s="9">
        <f>+E199*1.3</f>
        <v>0</v>
      </c>
      <c r="F201" s="9">
        <f>+F180+0.004</f>
        <v>0.10900000000000001</v>
      </c>
      <c r="G201" s="9">
        <f>+G180+0.0082</f>
        <v>0.22000000000000006</v>
      </c>
      <c r="H201" s="9">
        <f>+H180+0.0144</f>
        <v>0.38300000000000012</v>
      </c>
      <c r="I201" s="9">
        <f>+I180+0.006</f>
        <v>0.16400000000000003</v>
      </c>
      <c r="J201" s="9">
        <v>1.3740000000000001</v>
      </c>
      <c r="K201" s="4">
        <f>+K180+0.1468</f>
        <v>2.3759999999999994</v>
      </c>
      <c r="L201" s="4">
        <f>+L180</f>
        <v>6</v>
      </c>
      <c r="M201" s="4">
        <f>+M180+0.7338</f>
        <v>11.880000000000003</v>
      </c>
      <c r="N201" s="4">
        <f>+N180</f>
        <v>30</v>
      </c>
      <c r="O201" s="4"/>
      <c r="P201" s="4">
        <f>+P180+0.2926</f>
        <v>8.58</v>
      </c>
      <c r="Q201" s="4">
        <f>+Q180</f>
        <v>20</v>
      </c>
      <c r="R201" s="9">
        <f>+R180+0.046</f>
        <v>0.29059999999999997</v>
      </c>
      <c r="S201" s="4">
        <f>+S180</f>
        <v>43.35</v>
      </c>
      <c r="T201" s="563"/>
      <c r="U201" s="4">
        <v>5</v>
      </c>
      <c r="V201" s="4">
        <v>16.600000000000001</v>
      </c>
    </row>
    <row r="202" spans="1:23" ht="24.9" customHeight="1" thickBot="1" x14ac:dyDescent="0.3">
      <c r="A202" s="1192"/>
      <c r="B202" s="1201"/>
      <c r="C202" s="51" t="s">
        <v>22</v>
      </c>
      <c r="D202" s="11">
        <v>0.16400000000000001</v>
      </c>
      <c r="E202" s="11">
        <v>0</v>
      </c>
      <c r="F202" s="11">
        <v>0.10880000000000001</v>
      </c>
      <c r="G202" s="11">
        <v>0.22</v>
      </c>
      <c r="H202" s="11">
        <v>0.38300000000000001</v>
      </c>
      <c r="I202" s="11">
        <v>0.16400000000000001</v>
      </c>
      <c r="J202" s="11">
        <v>1.3744000000000001</v>
      </c>
      <c r="K202" s="5">
        <f>+K181+0.1468</f>
        <v>2.3759999999999994</v>
      </c>
      <c r="L202" s="5">
        <f>+L181</f>
        <v>6</v>
      </c>
      <c r="M202" s="5">
        <f>+M181+0.7338</f>
        <v>11.880000000000003</v>
      </c>
      <c r="N202" s="5">
        <f>+N181</f>
        <v>30</v>
      </c>
      <c r="O202" s="5"/>
      <c r="P202" s="5">
        <f>+P181+0.2926</f>
        <v>8.58</v>
      </c>
      <c r="Q202" s="5">
        <f>+Q181</f>
        <v>20</v>
      </c>
      <c r="R202" s="11">
        <f>+R181+0.046</f>
        <v>0.29059999999999997</v>
      </c>
      <c r="S202" s="5">
        <f>+S181</f>
        <v>43.35</v>
      </c>
      <c r="T202" s="574"/>
      <c r="U202" s="604">
        <v>5</v>
      </c>
      <c r="V202" s="593">
        <v>16.600000000000001</v>
      </c>
      <c r="W202" s="5"/>
    </row>
    <row r="203" spans="1:23" ht="24.9" customHeight="1" x14ac:dyDescent="0.25">
      <c r="A203" s="1192"/>
      <c r="B203" s="1188" t="s">
        <v>29</v>
      </c>
      <c r="C203" s="15" t="s">
        <v>16</v>
      </c>
      <c r="D203" s="48">
        <v>0.15</v>
      </c>
      <c r="E203" s="48">
        <v>0.1</v>
      </c>
      <c r="F203" s="48">
        <v>0.12</v>
      </c>
      <c r="G203" s="48">
        <v>0.22</v>
      </c>
      <c r="H203" s="48">
        <v>0.35</v>
      </c>
      <c r="I203" s="48">
        <v>0.2</v>
      </c>
      <c r="J203" s="48">
        <v>1</v>
      </c>
      <c r="K203" s="49">
        <v>2.2000000000000002</v>
      </c>
      <c r="L203" s="48">
        <v>3.7</v>
      </c>
      <c r="M203" s="48">
        <v>12</v>
      </c>
      <c r="N203" s="48">
        <v>20</v>
      </c>
      <c r="O203" s="48">
        <v>2</v>
      </c>
      <c r="P203" s="48">
        <v>9</v>
      </c>
      <c r="Q203" s="48">
        <v>13.8</v>
      </c>
      <c r="R203" s="48">
        <v>0.1</v>
      </c>
      <c r="S203" s="48">
        <v>20</v>
      </c>
      <c r="T203" s="575">
        <v>2</v>
      </c>
      <c r="U203" s="48">
        <v>4</v>
      </c>
      <c r="V203" s="594">
        <v>4</v>
      </c>
    </row>
    <row r="204" spans="1:23" ht="24.9" customHeight="1" x14ac:dyDescent="0.25">
      <c r="A204" s="1192"/>
      <c r="B204" s="1190"/>
      <c r="C204" s="28"/>
      <c r="D204" s="35">
        <f>+(D203-D$98)/D$98</f>
        <v>0</v>
      </c>
      <c r="E204" s="35">
        <f t="shared" ref="E204:N204" si="60">+(E203-E$98)/E$98</f>
        <v>32.333333333333336</v>
      </c>
      <c r="F204" s="35">
        <f t="shared" si="60"/>
        <v>0</v>
      </c>
      <c r="G204" s="35">
        <f t="shared" si="60"/>
        <v>0</v>
      </c>
      <c r="H204" s="35">
        <f t="shared" si="60"/>
        <v>0</v>
      </c>
      <c r="I204" s="35">
        <f t="shared" si="60"/>
        <v>0</v>
      </c>
      <c r="J204" s="35">
        <f t="shared" si="60"/>
        <v>0</v>
      </c>
      <c r="K204" s="35">
        <f t="shared" si="60"/>
        <v>0</v>
      </c>
      <c r="L204" s="35">
        <f t="shared" si="60"/>
        <v>0</v>
      </c>
      <c r="M204" s="35">
        <f t="shared" si="60"/>
        <v>0</v>
      </c>
      <c r="N204" s="35">
        <f t="shared" si="60"/>
        <v>0</v>
      </c>
      <c r="O204" s="35"/>
      <c r="P204" s="35">
        <f>+(P203-P$98)/P$98</f>
        <v>0</v>
      </c>
      <c r="Q204" s="35">
        <f>+(Q203-Q$98)/Q$98</f>
        <v>0</v>
      </c>
      <c r="R204" s="35">
        <f>+(R203-R$98)/R$98</f>
        <v>0</v>
      </c>
      <c r="S204" s="35">
        <f>+(S203-S$98)/S$98</f>
        <v>0</v>
      </c>
      <c r="T204" s="576">
        <f>+(T203-T$98)/T$98</f>
        <v>0</v>
      </c>
      <c r="U204" s="35"/>
      <c r="V204" s="595"/>
      <c r="W204" s="1" t="s">
        <v>170</v>
      </c>
    </row>
    <row r="205" spans="1:23" ht="24.9" customHeight="1" thickBot="1" x14ac:dyDescent="0.3">
      <c r="A205" s="1193"/>
      <c r="B205" s="1189"/>
      <c r="C205" s="51" t="s">
        <v>17</v>
      </c>
      <c r="D205" s="5">
        <v>0.15</v>
      </c>
      <c r="E205" s="5">
        <v>0.1</v>
      </c>
      <c r="F205" s="5">
        <v>0.15</v>
      </c>
      <c r="G205" s="5">
        <v>0.27500000000000002</v>
      </c>
      <c r="H205" s="5">
        <v>0.44</v>
      </c>
      <c r="I205" s="5">
        <v>0.2</v>
      </c>
      <c r="J205" s="5">
        <v>1.25</v>
      </c>
      <c r="K205" s="16">
        <v>2.2000000000000002</v>
      </c>
      <c r="L205" s="5">
        <v>3.7</v>
      </c>
      <c r="M205" s="5">
        <v>12</v>
      </c>
      <c r="N205" s="5">
        <v>20</v>
      </c>
      <c r="O205" s="5">
        <v>2</v>
      </c>
      <c r="P205" s="5">
        <v>9</v>
      </c>
      <c r="Q205" s="5">
        <v>13.8</v>
      </c>
      <c r="R205" s="5">
        <v>0.1</v>
      </c>
      <c r="S205" s="5">
        <v>20</v>
      </c>
      <c r="T205" s="574">
        <v>2</v>
      </c>
      <c r="U205" s="604"/>
      <c r="V205" s="593"/>
    </row>
    <row r="206" spans="1:23" ht="24.9" customHeight="1" thickBot="1" x14ac:dyDescent="0.3"/>
    <row r="207" spans="1:23" ht="93" customHeight="1" x14ac:dyDescent="0.25">
      <c r="A207" s="36"/>
      <c r="B207" s="1194" t="s">
        <v>30</v>
      </c>
      <c r="C207" s="1195"/>
      <c r="D207" s="19" t="s">
        <v>0</v>
      </c>
      <c r="E207" s="19" t="s">
        <v>25</v>
      </c>
      <c r="F207" s="19" t="s">
        <v>1</v>
      </c>
      <c r="G207" s="19" t="s">
        <v>2</v>
      </c>
      <c r="H207" s="19" t="s">
        <v>13</v>
      </c>
      <c r="I207" s="19" t="s">
        <v>14</v>
      </c>
      <c r="J207" s="19" t="s">
        <v>10</v>
      </c>
      <c r="K207" s="19" t="s">
        <v>3</v>
      </c>
      <c r="L207" s="19" t="s">
        <v>4</v>
      </c>
      <c r="M207" s="19" t="s">
        <v>19</v>
      </c>
      <c r="N207" s="19" t="s">
        <v>20</v>
      </c>
      <c r="O207" s="19" t="s">
        <v>152</v>
      </c>
      <c r="P207" s="19" t="s">
        <v>5</v>
      </c>
      <c r="Q207" s="19" t="s">
        <v>6</v>
      </c>
      <c r="R207" s="19" t="s">
        <v>18</v>
      </c>
      <c r="S207" s="19" t="s">
        <v>7</v>
      </c>
      <c r="T207" s="20" t="s">
        <v>8</v>
      </c>
      <c r="U207" s="19" t="s">
        <v>199</v>
      </c>
      <c r="V207" s="580" t="s">
        <v>200</v>
      </c>
    </row>
    <row r="208" spans="1:23" ht="24.9" customHeight="1" thickBot="1" x14ac:dyDescent="0.3">
      <c r="A208" s="37"/>
      <c r="B208" s="1196"/>
      <c r="C208" s="1197"/>
      <c r="D208" s="22" t="s">
        <v>9</v>
      </c>
      <c r="E208" s="22"/>
      <c r="F208" s="22" t="s">
        <v>9</v>
      </c>
      <c r="G208" s="22" t="s">
        <v>9</v>
      </c>
      <c r="H208" s="22" t="s">
        <v>9</v>
      </c>
      <c r="I208" s="22" t="s">
        <v>9</v>
      </c>
      <c r="J208" s="22" t="s">
        <v>9</v>
      </c>
      <c r="K208" s="22" t="s">
        <v>9</v>
      </c>
      <c r="L208" s="22" t="s">
        <v>9</v>
      </c>
      <c r="M208" s="22" t="s">
        <v>11</v>
      </c>
      <c r="N208" s="22" t="s">
        <v>11</v>
      </c>
      <c r="O208" s="22" t="s">
        <v>11</v>
      </c>
      <c r="P208" s="22" t="s">
        <v>9</v>
      </c>
      <c r="Q208" s="22" t="s">
        <v>9</v>
      </c>
      <c r="R208" s="22" t="s">
        <v>21</v>
      </c>
      <c r="S208" s="22" t="s">
        <v>12</v>
      </c>
      <c r="T208" s="23" t="s">
        <v>12</v>
      </c>
      <c r="U208" s="22" t="s">
        <v>9</v>
      </c>
      <c r="V208" s="23" t="s">
        <v>9</v>
      </c>
    </row>
    <row r="209" spans="1:23" ht="24.9" customHeight="1" x14ac:dyDescent="0.25">
      <c r="A209" s="1192">
        <v>2018</v>
      </c>
      <c r="B209" s="1198" t="s">
        <v>23</v>
      </c>
      <c r="C209" s="1202" t="s">
        <v>16</v>
      </c>
      <c r="D209" s="31">
        <v>0.15</v>
      </c>
      <c r="E209" s="31"/>
      <c r="F209" s="31">
        <v>0.15</v>
      </c>
      <c r="G209" s="31">
        <v>0.18</v>
      </c>
      <c r="H209" s="31">
        <v>0.6</v>
      </c>
      <c r="I209" s="33">
        <v>0.18</v>
      </c>
      <c r="J209" s="31">
        <v>1.2</v>
      </c>
      <c r="K209" s="31">
        <v>3</v>
      </c>
      <c r="L209" s="31">
        <v>6</v>
      </c>
      <c r="M209" s="31">
        <v>15</v>
      </c>
      <c r="N209" s="31">
        <v>30</v>
      </c>
      <c r="O209" s="31"/>
      <c r="P209" s="31">
        <v>7</v>
      </c>
      <c r="Q209" s="31">
        <v>20</v>
      </c>
      <c r="R209" s="31"/>
      <c r="S209" s="31">
        <v>60</v>
      </c>
      <c r="T209" s="32">
        <v>5</v>
      </c>
      <c r="U209" s="31">
        <v>8.3000000000000007</v>
      </c>
      <c r="V209" s="581">
        <v>16.600000000000001</v>
      </c>
    </row>
    <row r="210" spans="1:23" ht="24.9" customHeight="1" x14ac:dyDescent="0.25">
      <c r="A210" s="1192"/>
      <c r="B210" s="1199"/>
      <c r="C210" s="1203"/>
      <c r="D210" s="24">
        <f>+(D209-D$83)/D$83</f>
        <v>0.2711864406779661</v>
      </c>
      <c r="E210" s="24"/>
      <c r="F210" s="24">
        <f t="shared" ref="F210:K210" si="61">+(F209-F$83)/F$83</f>
        <v>0.49999999999999989</v>
      </c>
      <c r="G210" s="24">
        <f t="shared" si="61"/>
        <v>-0.10000000000000009</v>
      </c>
      <c r="H210" s="24">
        <f t="shared" si="61"/>
        <v>2.2146507666098828E-2</v>
      </c>
      <c r="I210" s="24">
        <f t="shared" si="61"/>
        <v>0.25874125874125881</v>
      </c>
      <c r="J210" s="24">
        <f t="shared" si="61"/>
        <v>2.3613445378151261</v>
      </c>
      <c r="K210" s="24">
        <f t="shared" si="61"/>
        <v>0.33333333333333331</v>
      </c>
      <c r="L210" s="24">
        <f>+(L209-L$5)/L$5</f>
        <v>0.2</v>
      </c>
      <c r="M210" s="24">
        <f>+(M209-M$83)/M$83</f>
        <v>0.51209677419354838</v>
      </c>
      <c r="N210" s="24">
        <f>+(N209-N$5)/N$5</f>
        <v>0.2</v>
      </c>
      <c r="O210" s="24"/>
      <c r="P210" s="24">
        <f>+(P209-P$83)/P$83</f>
        <v>1.9661016949152545</v>
      </c>
      <c r="Q210" s="24">
        <f>+(Q209-Q$83)/Q$83</f>
        <v>0.69491525423728806</v>
      </c>
      <c r="R210" s="24"/>
      <c r="S210" s="24">
        <f>+(S209-S$83)/S$83</f>
        <v>0.36054421768707479</v>
      </c>
      <c r="T210" s="24">
        <f>+(T209-T$83)/T$83</f>
        <v>0.66666666666666663</v>
      </c>
      <c r="U210" s="24"/>
      <c r="V210" s="582"/>
      <c r="W210" s="1" t="s">
        <v>170</v>
      </c>
    </row>
    <row r="211" spans="1:23" ht="24.9" customHeight="1" x14ac:dyDescent="0.25">
      <c r="A211" s="1192"/>
      <c r="B211" s="1200"/>
      <c r="C211" s="53" t="s">
        <v>17</v>
      </c>
      <c r="D211" s="9"/>
      <c r="E211" s="9"/>
      <c r="F211" s="9">
        <v>0.16</v>
      </c>
      <c r="G211" s="9">
        <v>0.27</v>
      </c>
      <c r="H211" s="9">
        <v>0.7</v>
      </c>
      <c r="I211" s="9">
        <v>0.25</v>
      </c>
      <c r="J211" s="9">
        <v>1.7</v>
      </c>
      <c r="K211" s="9">
        <v>3.6</v>
      </c>
      <c r="L211" s="9">
        <v>6</v>
      </c>
      <c r="M211" s="9">
        <v>15</v>
      </c>
      <c r="N211" s="9">
        <v>30</v>
      </c>
      <c r="O211" s="9"/>
      <c r="P211" s="9">
        <v>8</v>
      </c>
      <c r="Q211" s="9">
        <v>20</v>
      </c>
      <c r="R211" s="9">
        <f>+R209*1.16</f>
        <v>0</v>
      </c>
      <c r="S211" s="9">
        <v>60</v>
      </c>
      <c r="T211" s="10">
        <v>5</v>
      </c>
      <c r="U211" s="596">
        <v>9.1999999999999993</v>
      </c>
      <c r="V211" s="583">
        <v>16.600000000000001</v>
      </c>
    </row>
    <row r="212" spans="1:23" ht="24.9" customHeight="1" thickBot="1" x14ac:dyDescent="0.3">
      <c r="A212" s="1192"/>
      <c r="B212" s="1201"/>
      <c r="C212" s="51" t="s">
        <v>22</v>
      </c>
      <c r="D212" s="11">
        <v>0.25</v>
      </c>
      <c r="E212" s="11"/>
      <c r="F212" s="11">
        <v>0.18</v>
      </c>
      <c r="G212" s="11">
        <v>0.35</v>
      </c>
      <c r="H212" s="11">
        <v>0.7</v>
      </c>
      <c r="I212" s="11">
        <v>0.3</v>
      </c>
      <c r="J212" s="11">
        <v>2</v>
      </c>
      <c r="K212" s="11">
        <v>3.6</v>
      </c>
      <c r="L212" s="11">
        <v>6</v>
      </c>
      <c r="M212" s="11">
        <v>18</v>
      </c>
      <c r="N212" s="11">
        <v>30</v>
      </c>
      <c r="O212" s="11"/>
      <c r="P212" s="11">
        <v>11</v>
      </c>
      <c r="Q212" s="11">
        <v>20</v>
      </c>
      <c r="R212" s="11">
        <f>+R209*1.33</f>
        <v>0</v>
      </c>
      <c r="S212" s="11">
        <v>60</v>
      </c>
      <c r="T212" s="12">
        <v>5</v>
      </c>
      <c r="U212" s="606">
        <v>10</v>
      </c>
      <c r="V212" s="607">
        <v>16.600000000000001</v>
      </c>
    </row>
    <row r="213" spans="1:23" ht="24.9" customHeight="1" x14ac:dyDescent="0.25">
      <c r="A213" s="1192"/>
      <c r="B213" s="1188" t="s">
        <v>24</v>
      </c>
      <c r="C213" s="95"/>
      <c r="D213" s="97">
        <v>0.13200000000000001</v>
      </c>
      <c r="E213" s="97">
        <v>0.1</v>
      </c>
      <c r="F213" s="97">
        <v>8.2000000000000003E-2</v>
      </c>
      <c r="G213" s="97">
        <v>0.16400000000000001</v>
      </c>
      <c r="H213" s="97">
        <v>0.33</v>
      </c>
      <c r="I213" s="97"/>
      <c r="J213" s="97">
        <v>0.44</v>
      </c>
      <c r="K213" s="97">
        <v>0.77</v>
      </c>
      <c r="L213" s="97">
        <v>6</v>
      </c>
      <c r="M213" s="97">
        <v>7.4</v>
      </c>
      <c r="N213" s="97">
        <v>30</v>
      </c>
      <c r="O213" s="97">
        <v>4</v>
      </c>
      <c r="P213" s="97">
        <v>0.94</v>
      </c>
      <c r="Q213" s="97">
        <v>20</v>
      </c>
      <c r="R213" s="97"/>
      <c r="S213" s="97">
        <v>14</v>
      </c>
      <c r="T213" s="565">
        <v>1.4</v>
      </c>
      <c r="U213" s="609">
        <v>5</v>
      </c>
      <c r="V213" s="608">
        <v>5</v>
      </c>
    </row>
    <row r="214" spans="1:23" ht="24.9" customHeight="1" thickBot="1" x14ac:dyDescent="0.3">
      <c r="A214" s="1192"/>
      <c r="B214" s="1189"/>
      <c r="C214" s="99"/>
      <c r="D214" s="25">
        <f>+(D213-D$87)/D$87</f>
        <v>-0.25423728813559315</v>
      </c>
      <c r="E214" s="25" t="s">
        <v>173</v>
      </c>
      <c r="F214" s="25">
        <f>+(F213-F$87)/F$87</f>
        <v>0.12328767123287683</v>
      </c>
      <c r="G214" s="25">
        <f>+(G213-G$87)/G$87</f>
        <v>0.12328767123287683</v>
      </c>
      <c r="H214" s="25">
        <f>+(H213-H$87)/H$87</f>
        <v>0.13402061855670117</v>
      </c>
      <c r="I214" s="25"/>
      <c r="J214" s="25">
        <f t="shared" ref="J214:P214" si="62">+(J213-J$87)/J$87</f>
        <v>0.11675126903553296</v>
      </c>
      <c r="K214" s="25">
        <f t="shared" si="62"/>
        <v>0.12408759124087584</v>
      </c>
      <c r="L214" s="25"/>
      <c r="M214" s="25">
        <f t="shared" si="62"/>
        <v>0.12822076536057328</v>
      </c>
      <c r="N214" s="25"/>
      <c r="O214" s="25"/>
      <c r="P214" s="25">
        <f t="shared" si="62"/>
        <v>0.13116726835138387</v>
      </c>
      <c r="Q214" s="25"/>
      <c r="R214" s="25"/>
      <c r="S214" s="25">
        <f>+(S213-S$87)/S$87</f>
        <v>0.1299435028248587</v>
      </c>
      <c r="T214" s="566">
        <f>+(T213-T$87)/T$87</f>
        <v>0.12994350282485859</v>
      </c>
      <c r="U214" s="610"/>
      <c r="V214" s="585"/>
      <c r="W214" s="3" t="s">
        <v>170</v>
      </c>
    </row>
    <row r="215" spans="1:23" ht="24.9" customHeight="1" x14ac:dyDescent="0.25">
      <c r="A215" s="1192"/>
      <c r="B215" s="1198" t="s">
        <v>27</v>
      </c>
      <c r="C215" s="14" t="s">
        <v>16</v>
      </c>
      <c r="D215" s="42">
        <v>0.14119999999999999</v>
      </c>
      <c r="E215" s="285">
        <v>0.1</v>
      </c>
      <c r="F215" s="42">
        <v>9.4100000000000003E-2</v>
      </c>
      <c r="G215" s="42">
        <v>0.1883</v>
      </c>
      <c r="H215" s="42">
        <v>0.32950000000000002</v>
      </c>
      <c r="I215" s="42">
        <v>0.04</v>
      </c>
      <c r="J215" s="284">
        <v>0.9415</v>
      </c>
      <c r="K215" s="285">
        <v>1.5</v>
      </c>
      <c r="L215" s="285">
        <v>5</v>
      </c>
      <c r="M215" s="285">
        <v>15</v>
      </c>
      <c r="N215" s="285">
        <v>25</v>
      </c>
      <c r="O215" s="285"/>
      <c r="P215" s="285" t="s">
        <v>148</v>
      </c>
      <c r="Q215" s="285" t="s">
        <v>148</v>
      </c>
      <c r="R215" s="285" t="s">
        <v>148</v>
      </c>
      <c r="S215" s="285">
        <v>60</v>
      </c>
      <c r="T215" s="567">
        <v>8.5</v>
      </c>
      <c r="U215" s="611">
        <v>8</v>
      </c>
      <c r="V215" s="586">
        <v>13</v>
      </c>
    </row>
    <row r="216" spans="1:23" ht="24.9" customHeight="1" x14ac:dyDescent="0.25">
      <c r="A216" s="1192"/>
      <c r="B216" s="1190"/>
      <c r="C216" s="28"/>
      <c r="D216" s="38">
        <f>+(D215-D$89)/D$89</f>
        <v>-5.8666666666666686E-2</v>
      </c>
      <c r="E216" s="623">
        <f>+(E215-E$89)/E$89</f>
        <v>0</v>
      </c>
      <c r="F216" s="38">
        <f>+(F215-F$89)/F$89</f>
        <v>-5.9000000000000025E-2</v>
      </c>
      <c r="G216" s="38">
        <f>+(G215-G$89)/G$89</f>
        <v>-5.850000000000008E-2</v>
      </c>
      <c r="H216" s="38">
        <f>+(H215-H$89)/H$89</f>
        <v>-5.8571428571428469E-2</v>
      </c>
      <c r="I216" s="38"/>
      <c r="J216" s="38">
        <f>+(J215-J$89)/J$89</f>
        <v>-5.8499999999999996E-2</v>
      </c>
      <c r="K216" s="38">
        <f>+(K215-K$89)/K$89</f>
        <v>0</v>
      </c>
      <c r="L216" s="38">
        <f>+(L215-L$89)/L$89</f>
        <v>0</v>
      </c>
      <c r="M216" s="38">
        <f>+(M215-M$89)/M$89</f>
        <v>0</v>
      </c>
      <c r="N216" s="38">
        <f>+(N215-N$89)/N$89</f>
        <v>0</v>
      </c>
      <c r="O216" s="289"/>
      <c r="P216" s="38"/>
      <c r="Q216" s="38"/>
      <c r="R216" s="38"/>
      <c r="S216" s="38">
        <f>+(S215-S$89)/S$89</f>
        <v>0</v>
      </c>
      <c r="T216" s="568">
        <f>+(T215-T$89)/T$89</f>
        <v>0</v>
      </c>
      <c r="U216" s="612"/>
      <c r="V216" s="587"/>
      <c r="W216" s="1" t="s">
        <v>170</v>
      </c>
    </row>
    <row r="217" spans="1:23" ht="24.9" customHeight="1" thickBot="1" x14ac:dyDescent="0.3">
      <c r="A217" s="1192"/>
      <c r="B217" s="1201"/>
      <c r="C217" s="51" t="s">
        <v>17</v>
      </c>
      <c r="D217" s="624">
        <v>0.18360000000000001</v>
      </c>
      <c r="E217" s="625">
        <v>0.1</v>
      </c>
      <c r="F217" s="624">
        <v>0.12239999999999999</v>
      </c>
      <c r="G217" s="624">
        <v>0.24479999999999999</v>
      </c>
      <c r="H217" s="624">
        <v>0.4284</v>
      </c>
      <c r="I217" s="626">
        <f>+I215*1.3</f>
        <v>5.2000000000000005E-2</v>
      </c>
      <c r="J217" s="624">
        <v>0.1239</v>
      </c>
      <c r="K217" s="627">
        <f>+K215</f>
        <v>1.5</v>
      </c>
      <c r="L217" s="625">
        <f>+L215</f>
        <v>5</v>
      </c>
      <c r="M217" s="625">
        <f>+M215</f>
        <v>15</v>
      </c>
      <c r="N217" s="625">
        <f>+N215</f>
        <v>25</v>
      </c>
      <c r="O217" s="625"/>
      <c r="P217" s="625"/>
      <c r="Q217" s="625"/>
      <c r="R217" s="625"/>
      <c r="S217" s="625">
        <f>+S215</f>
        <v>60</v>
      </c>
      <c r="T217" s="628">
        <f>+T215</f>
        <v>8.5</v>
      </c>
      <c r="U217" s="629">
        <v>8</v>
      </c>
      <c r="V217" s="630">
        <v>13</v>
      </c>
    </row>
    <row r="218" spans="1:23" ht="24.9" customHeight="1" x14ac:dyDescent="0.25">
      <c r="A218" s="1192"/>
      <c r="B218" s="1188" t="s">
        <v>26</v>
      </c>
      <c r="C218" s="95"/>
      <c r="D218" s="92">
        <v>0.21299999999999999</v>
      </c>
      <c r="E218" s="92">
        <v>7.0999999999999994E-2</v>
      </c>
      <c r="F218" s="92">
        <v>0.14199999999999999</v>
      </c>
      <c r="G218" s="92">
        <v>0.28499999999999998</v>
      </c>
      <c r="H218" s="92">
        <v>0.5</v>
      </c>
      <c r="I218" s="92"/>
      <c r="J218" s="92">
        <v>1.423</v>
      </c>
      <c r="K218" s="92">
        <v>3.5489999999999999</v>
      </c>
      <c r="L218" s="92">
        <v>5.9109999999999996</v>
      </c>
      <c r="M218" s="92">
        <v>17.716000000000001</v>
      </c>
      <c r="N218" s="92">
        <v>29.553000000000001</v>
      </c>
      <c r="O218" s="92">
        <v>3.9</v>
      </c>
      <c r="P218" s="92">
        <v>10.721</v>
      </c>
      <c r="Q218" s="92">
        <v>16.498000000000001</v>
      </c>
      <c r="R218" s="92">
        <v>0.14899999999999999</v>
      </c>
      <c r="S218" s="92">
        <v>60.643999999999998</v>
      </c>
      <c r="T218" s="570">
        <v>6.0449999999999999</v>
      </c>
      <c r="U218" s="613">
        <v>6</v>
      </c>
      <c r="V218" s="589">
        <v>9.9600000000000009</v>
      </c>
    </row>
    <row r="219" spans="1:23" ht="24.9" customHeight="1" thickBot="1" x14ac:dyDescent="0.3">
      <c r="A219" s="1192"/>
      <c r="B219" s="1189"/>
      <c r="C219" s="96"/>
      <c r="D219" s="30">
        <f t="shared" ref="D219:T219" si="63">+(D218-D$92)/D$92</f>
        <v>0.33962264150943389</v>
      </c>
      <c r="E219" s="30">
        <f t="shared" si="63"/>
        <v>0.33962264150943389</v>
      </c>
      <c r="F219" s="30">
        <f t="shared" si="63"/>
        <v>0.33962264150943389</v>
      </c>
      <c r="G219" s="30">
        <f t="shared" si="63"/>
        <v>0.34433962264150936</v>
      </c>
      <c r="H219" s="30">
        <f t="shared" si="63"/>
        <v>0.34770889487870621</v>
      </c>
      <c r="I219" s="30"/>
      <c r="J219" s="30">
        <f t="shared" si="63"/>
        <v>0.34118755890669189</v>
      </c>
      <c r="K219" s="30">
        <f t="shared" si="63"/>
        <v>0.54304347826086963</v>
      </c>
      <c r="L219" s="30">
        <f t="shared" si="63"/>
        <v>0.54334203655352464</v>
      </c>
      <c r="M219" s="30">
        <f t="shared" si="63"/>
        <v>0.77160000000000006</v>
      </c>
      <c r="N219" s="30">
        <f t="shared" si="63"/>
        <v>0.77282543491301725</v>
      </c>
      <c r="O219" s="30"/>
      <c r="P219" s="30">
        <f t="shared" si="63"/>
        <v>0.34012500000000001</v>
      </c>
      <c r="Q219" s="30">
        <f t="shared" si="63"/>
        <v>0.34021121039805041</v>
      </c>
      <c r="R219" s="30">
        <f t="shared" si="63"/>
        <v>0.29565217391304338</v>
      </c>
      <c r="S219" s="30">
        <f t="shared" si="63"/>
        <v>0.3446265049555442</v>
      </c>
      <c r="T219" s="571">
        <f t="shared" si="63"/>
        <v>0.34035476718403551</v>
      </c>
      <c r="U219" s="614"/>
      <c r="V219" s="590"/>
    </row>
    <row r="220" spans="1:23" ht="24.9" customHeight="1" x14ac:dyDescent="0.25">
      <c r="A220" s="1192"/>
      <c r="B220" s="1198" t="s">
        <v>28</v>
      </c>
      <c r="C220" s="14" t="s">
        <v>16</v>
      </c>
      <c r="D220" s="46">
        <v>0.16399999999999995</v>
      </c>
      <c r="E220" s="46"/>
      <c r="F220" s="46">
        <v>0.109</v>
      </c>
      <c r="G220" s="46">
        <v>0.22</v>
      </c>
      <c r="H220" s="46">
        <v>0.38299999999999995</v>
      </c>
      <c r="I220" s="46">
        <v>0.16399999999999995</v>
      </c>
      <c r="J220" s="46">
        <v>1.3739999999999999</v>
      </c>
      <c r="K220" s="46">
        <v>2.3759999999999994</v>
      </c>
      <c r="L220" s="46">
        <v>6</v>
      </c>
      <c r="M220" s="46">
        <v>11.880000000000003</v>
      </c>
      <c r="N220" s="46">
        <v>30</v>
      </c>
      <c r="O220" s="46"/>
      <c r="P220" s="46">
        <v>8.58</v>
      </c>
      <c r="Q220" s="46">
        <v>20</v>
      </c>
      <c r="R220" s="46">
        <v>0.125</v>
      </c>
      <c r="S220" s="46">
        <v>43.35</v>
      </c>
      <c r="T220" s="572"/>
      <c r="U220" s="615">
        <v>6</v>
      </c>
      <c r="V220" s="591">
        <v>16.600000000000001</v>
      </c>
    </row>
    <row r="221" spans="1:23" ht="24.9" customHeight="1" x14ac:dyDescent="0.25">
      <c r="A221" s="1192"/>
      <c r="B221" s="1199"/>
      <c r="C221" s="15"/>
      <c r="D221" s="34">
        <f>+(D220-D$94)/D$94</f>
        <v>0.59223300970873749</v>
      </c>
      <c r="E221" s="34"/>
      <c r="F221" s="34">
        <f t="shared" ref="F221:N221" si="64">+(F220-F$94)/F$94</f>
        <v>0.60294117647058809</v>
      </c>
      <c r="G221" s="34">
        <f t="shared" si="64"/>
        <v>0.5942028985507245</v>
      </c>
      <c r="H221" s="34">
        <f t="shared" si="64"/>
        <v>0.60251046025104593</v>
      </c>
      <c r="I221" s="34">
        <f t="shared" si="64"/>
        <v>0.59223300970873749</v>
      </c>
      <c r="J221" s="34">
        <f t="shared" si="64"/>
        <v>0.59953434225843993</v>
      </c>
      <c r="K221" s="34">
        <f t="shared" si="64"/>
        <v>0.4470158343483554</v>
      </c>
      <c r="L221" s="34">
        <f t="shared" si="64"/>
        <v>0.2</v>
      </c>
      <c r="M221" s="34">
        <f t="shared" si="64"/>
        <v>0.4468396054073806</v>
      </c>
      <c r="N221" s="34">
        <f t="shared" si="64"/>
        <v>0.2</v>
      </c>
      <c r="O221" s="34"/>
      <c r="P221" s="34">
        <f>+(P220-P$94)/P$94</f>
        <v>0.20556414219474498</v>
      </c>
      <c r="Q221" s="34">
        <f>+(Q220-Q$94)/Q$94</f>
        <v>0</v>
      </c>
      <c r="R221" s="34">
        <f>+(R220-R$94)/R$94</f>
        <v>0.58227848101265822</v>
      </c>
      <c r="S221" s="34">
        <f>+(S220-S$94)/S$94</f>
        <v>0</v>
      </c>
      <c r="T221" s="573"/>
      <c r="U221" s="616"/>
      <c r="V221" s="592"/>
      <c r="W221" s="1" t="s">
        <v>170</v>
      </c>
    </row>
    <row r="222" spans="1:23" ht="24.9" customHeight="1" x14ac:dyDescent="0.25">
      <c r="A222" s="1192"/>
      <c r="B222" s="1200"/>
      <c r="C222" s="53" t="s">
        <v>17</v>
      </c>
      <c r="D222" s="9">
        <v>0.16400000000000003</v>
      </c>
      <c r="E222" s="9">
        <v>0</v>
      </c>
      <c r="F222" s="9">
        <v>0.10900000000000001</v>
      </c>
      <c r="G222" s="9">
        <v>0.22000000000000006</v>
      </c>
      <c r="H222" s="9">
        <v>0.38300000000000012</v>
      </c>
      <c r="I222" s="9">
        <v>0.16400000000000003</v>
      </c>
      <c r="J222" s="9">
        <v>1.3740000000000001</v>
      </c>
      <c r="K222" s="4">
        <v>2.3759999999999994</v>
      </c>
      <c r="L222" s="4">
        <v>6</v>
      </c>
      <c r="M222" s="4">
        <v>11.880000000000003</v>
      </c>
      <c r="N222" s="4">
        <v>30</v>
      </c>
      <c r="O222" s="4"/>
      <c r="P222" s="4">
        <v>8.58</v>
      </c>
      <c r="Q222" s="4">
        <v>20</v>
      </c>
      <c r="R222" s="9">
        <v>0.29059999999999997</v>
      </c>
      <c r="S222" s="4">
        <v>43.35</v>
      </c>
      <c r="T222" s="10"/>
      <c r="U222" s="651">
        <v>6</v>
      </c>
      <c r="V222" s="4">
        <v>16.600000000000001</v>
      </c>
    </row>
    <row r="223" spans="1:23" ht="24.9" customHeight="1" thickBot="1" x14ac:dyDescent="0.3">
      <c r="A223" s="1192"/>
      <c r="B223" s="1201"/>
      <c r="C223" s="51" t="s">
        <v>22</v>
      </c>
      <c r="D223" s="11">
        <v>0.16400000000000001</v>
      </c>
      <c r="E223" s="11">
        <v>0</v>
      </c>
      <c r="F223" s="11">
        <v>0.10880000000000001</v>
      </c>
      <c r="G223" s="11">
        <v>0.22</v>
      </c>
      <c r="H223" s="11">
        <v>0.38300000000000001</v>
      </c>
      <c r="I223" s="11">
        <v>0.16400000000000001</v>
      </c>
      <c r="J223" s="11">
        <v>1.3744000000000001</v>
      </c>
      <c r="K223" s="4">
        <v>2.3759999999999994</v>
      </c>
      <c r="L223" s="4">
        <v>6</v>
      </c>
      <c r="M223" s="4">
        <v>11.880000000000003</v>
      </c>
      <c r="N223" s="4">
        <v>30</v>
      </c>
      <c r="O223" s="4"/>
      <c r="P223" s="4">
        <v>8.58</v>
      </c>
      <c r="Q223" s="4">
        <v>20</v>
      </c>
      <c r="R223" s="9">
        <v>0.29059999999999997</v>
      </c>
      <c r="S223" s="4">
        <v>43.35</v>
      </c>
      <c r="T223" s="574"/>
      <c r="U223" s="617">
        <v>6</v>
      </c>
      <c r="V223" s="593">
        <v>16.600000000000001</v>
      </c>
    </row>
    <row r="224" spans="1:23" ht="24.9" customHeight="1" x14ac:dyDescent="0.25">
      <c r="A224" s="1192"/>
      <c r="B224" s="1188" t="s">
        <v>29</v>
      </c>
      <c r="C224" s="15" t="s">
        <v>16</v>
      </c>
      <c r="D224" s="48">
        <v>0.15</v>
      </c>
      <c r="E224" s="48">
        <v>0.1</v>
      </c>
      <c r="F224" s="48">
        <v>0.12</v>
      </c>
      <c r="G224" s="48">
        <v>0.22</v>
      </c>
      <c r="H224" s="48">
        <v>0.35</v>
      </c>
      <c r="I224" s="48">
        <v>0.2</v>
      </c>
      <c r="J224" s="48">
        <v>1</v>
      </c>
      <c r="K224" s="49">
        <v>2.2000000000000002</v>
      </c>
      <c r="L224" s="48">
        <v>3.7</v>
      </c>
      <c r="M224" s="48">
        <v>12</v>
      </c>
      <c r="N224" s="48">
        <v>20</v>
      </c>
      <c r="O224" s="48">
        <v>3</v>
      </c>
      <c r="P224" s="48">
        <v>9</v>
      </c>
      <c r="Q224" s="48">
        <v>13.8</v>
      </c>
      <c r="R224" s="48">
        <v>0.1</v>
      </c>
      <c r="S224" s="48">
        <v>20</v>
      </c>
      <c r="T224" s="575">
        <v>2</v>
      </c>
      <c r="U224" s="618">
        <v>5</v>
      </c>
      <c r="V224" s="594">
        <v>5</v>
      </c>
    </row>
    <row r="225" spans="1:23" ht="24.9" customHeight="1" x14ac:dyDescent="0.25">
      <c r="A225" s="1192"/>
      <c r="B225" s="1190"/>
      <c r="C225" s="28"/>
      <c r="D225" s="35">
        <f>+(D224-D$98)/D$98</f>
        <v>0</v>
      </c>
      <c r="E225" s="35">
        <f t="shared" ref="E225:N225" si="65">+(E224-E$98)/E$98</f>
        <v>32.333333333333336</v>
      </c>
      <c r="F225" s="35">
        <f t="shared" si="65"/>
        <v>0</v>
      </c>
      <c r="G225" s="35">
        <f t="shared" si="65"/>
        <v>0</v>
      </c>
      <c r="H225" s="35">
        <f t="shared" si="65"/>
        <v>0</v>
      </c>
      <c r="I225" s="35">
        <f t="shared" si="65"/>
        <v>0</v>
      </c>
      <c r="J225" s="35">
        <f t="shared" si="65"/>
        <v>0</v>
      </c>
      <c r="K225" s="35">
        <f t="shared" si="65"/>
        <v>0</v>
      </c>
      <c r="L225" s="35">
        <f t="shared" si="65"/>
        <v>0</v>
      </c>
      <c r="M225" s="35">
        <f t="shared" si="65"/>
        <v>0</v>
      </c>
      <c r="N225" s="35">
        <f t="shared" si="65"/>
        <v>0</v>
      </c>
      <c r="O225" s="35"/>
      <c r="P225" s="35">
        <f>+(P224-P$98)/P$98</f>
        <v>0</v>
      </c>
      <c r="Q225" s="35">
        <f>+(Q224-Q$98)/Q$98</f>
        <v>0</v>
      </c>
      <c r="R225" s="35">
        <f>+(R224-R$98)/R$98</f>
        <v>0</v>
      </c>
      <c r="S225" s="35">
        <f>+(S224-S$98)/S$98</f>
        <v>0</v>
      </c>
      <c r="T225" s="576">
        <f>+(T224-T$98)/T$98</f>
        <v>0</v>
      </c>
      <c r="U225" s="619"/>
      <c r="V225" s="595"/>
      <c r="W225" s="1" t="s">
        <v>170</v>
      </c>
    </row>
    <row r="226" spans="1:23" ht="24.9" customHeight="1" thickBot="1" x14ac:dyDescent="0.3">
      <c r="A226" s="1193"/>
      <c r="B226" s="1189"/>
      <c r="C226" s="51" t="s">
        <v>17</v>
      </c>
      <c r="D226" s="5">
        <v>0.15</v>
      </c>
      <c r="E226" s="5">
        <v>0.1</v>
      </c>
      <c r="F226" s="5">
        <v>0.15</v>
      </c>
      <c r="G226" s="5">
        <v>0.27500000000000002</v>
      </c>
      <c r="H226" s="5">
        <v>0.44</v>
      </c>
      <c r="I226" s="5">
        <v>0.2</v>
      </c>
      <c r="J226" s="5">
        <v>1.25</v>
      </c>
      <c r="K226" s="16">
        <v>2.2000000000000002</v>
      </c>
      <c r="L226" s="5">
        <v>3.7</v>
      </c>
      <c r="M226" s="5">
        <v>12</v>
      </c>
      <c r="N226" s="5">
        <v>20</v>
      </c>
      <c r="O226" s="5">
        <v>3</v>
      </c>
      <c r="P226" s="5">
        <v>9</v>
      </c>
      <c r="Q226" s="5">
        <v>13.8</v>
      </c>
      <c r="R226" s="5">
        <v>0.1</v>
      </c>
      <c r="S226" s="5">
        <v>20</v>
      </c>
      <c r="T226" s="574">
        <v>2</v>
      </c>
      <c r="U226" s="617"/>
      <c r="V226" s="593"/>
    </row>
    <row r="227" spans="1:23" ht="24.9" customHeight="1" thickBot="1" x14ac:dyDescent="0.3"/>
    <row r="228" spans="1:23" ht="93" customHeight="1" x14ac:dyDescent="0.25">
      <c r="A228" s="36"/>
      <c r="B228" s="1194" t="s">
        <v>30</v>
      </c>
      <c r="C228" s="1195"/>
      <c r="D228" s="19" t="s">
        <v>0</v>
      </c>
      <c r="E228" s="19" t="s">
        <v>25</v>
      </c>
      <c r="F228" s="19" t="s">
        <v>1</v>
      </c>
      <c r="G228" s="19" t="s">
        <v>2</v>
      </c>
      <c r="H228" s="19" t="s">
        <v>13</v>
      </c>
      <c r="I228" s="19" t="s">
        <v>14</v>
      </c>
      <c r="J228" s="19" t="s">
        <v>10</v>
      </c>
      <c r="K228" s="19" t="s">
        <v>3</v>
      </c>
      <c r="L228" s="19" t="s">
        <v>4</v>
      </c>
      <c r="M228" s="19" t="s">
        <v>19</v>
      </c>
      <c r="N228" s="19" t="s">
        <v>20</v>
      </c>
      <c r="O228" s="19" t="s">
        <v>152</v>
      </c>
      <c r="P228" s="19" t="s">
        <v>5</v>
      </c>
      <c r="Q228" s="19" t="s">
        <v>6</v>
      </c>
      <c r="R228" s="19" t="s">
        <v>18</v>
      </c>
      <c r="S228" s="19" t="s">
        <v>7</v>
      </c>
      <c r="T228" s="20" t="s">
        <v>8</v>
      </c>
      <c r="U228" s="19" t="s">
        <v>199</v>
      </c>
      <c r="V228" s="580" t="s">
        <v>200</v>
      </c>
    </row>
    <row r="229" spans="1:23" ht="24.9" customHeight="1" thickBot="1" x14ac:dyDescent="0.3">
      <c r="A229" s="37"/>
      <c r="B229" s="1196"/>
      <c r="C229" s="1197"/>
      <c r="D229" s="22" t="s">
        <v>9</v>
      </c>
      <c r="E229" s="22"/>
      <c r="F229" s="22" t="s">
        <v>9</v>
      </c>
      <c r="G229" s="22" t="s">
        <v>9</v>
      </c>
      <c r="H229" s="22" t="s">
        <v>9</v>
      </c>
      <c r="I229" s="22" t="s">
        <v>9</v>
      </c>
      <c r="J229" s="22" t="s">
        <v>9</v>
      </c>
      <c r="K229" s="22" t="s">
        <v>9</v>
      </c>
      <c r="L229" s="22" t="s">
        <v>9</v>
      </c>
      <c r="M229" s="22" t="s">
        <v>11</v>
      </c>
      <c r="N229" s="22" t="s">
        <v>11</v>
      </c>
      <c r="O229" s="22" t="s">
        <v>11</v>
      </c>
      <c r="P229" s="22" t="s">
        <v>9</v>
      </c>
      <c r="Q229" s="22" t="s">
        <v>9</v>
      </c>
      <c r="R229" s="22" t="s">
        <v>21</v>
      </c>
      <c r="S229" s="22" t="s">
        <v>12</v>
      </c>
      <c r="T229" s="23" t="s">
        <v>12</v>
      </c>
      <c r="U229" s="22" t="s">
        <v>9</v>
      </c>
      <c r="V229" s="23" t="s">
        <v>9</v>
      </c>
    </row>
    <row r="230" spans="1:23" ht="24.9" customHeight="1" x14ac:dyDescent="0.25">
      <c r="A230" s="1192">
        <v>2019</v>
      </c>
      <c r="B230" s="1198" t="s">
        <v>23</v>
      </c>
      <c r="C230" s="1202" t="s">
        <v>16</v>
      </c>
      <c r="D230" s="31">
        <v>0.15</v>
      </c>
      <c r="E230" s="31"/>
      <c r="F230" s="31">
        <v>0.15</v>
      </c>
      <c r="G230" s="31">
        <v>0.18</v>
      </c>
      <c r="H230" s="31">
        <v>0.6</v>
      </c>
      <c r="I230" s="33">
        <v>0.18</v>
      </c>
      <c r="J230" s="31">
        <v>1.2</v>
      </c>
      <c r="K230" s="31">
        <v>3</v>
      </c>
      <c r="L230" s="31">
        <v>6</v>
      </c>
      <c r="M230" s="31">
        <v>15</v>
      </c>
      <c r="N230" s="31">
        <v>30</v>
      </c>
      <c r="O230" s="31"/>
      <c r="P230" s="31">
        <v>7</v>
      </c>
      <c r="Q230" s="31">
        <v>20</v>
      </c>
      <c r="R230" s="31"/>
      <c r="S230" s="31">
        <v>60</v>
      </c>
      <c r="T230" s="32">
        <v>5</v>
      </c>
      <c r="U230" s="31">
        <v>8.3000000000000007</v>
      </c>
      <c r="V230" s="581">
        <v>16.600000000000001</v>
      </c>
    </row>
    <row r="231" spans="1:23" ht="24.9" customHeight="1" x14ac:dyDescent="0.25">
      <c r="A231" s="1192"/>
      <c r="B231" s="1199"/>
      <c r="C231" s="1203"/>
      <c r="D231" s="24">
        <f>+(D230-D$209)/D$209</f>
        <v>0</v>
      </c>
      <c r="E231" s="713"/>
      <c r="F231" s="24">
        <f t="shared" ref="F231:V231" si="66">+(F230-F$209)/F$209</f>
        <v>0</v>
      </c>
      <c r="G231" s="24">
        <f t="shared" si="66"/>
        <v>0</v>
      </c>
      <c r="H231" s="24">
        <f t="shared" si="66"/>
        <v>0</v>
      </c>
      <c r="I231" s="24">
        <f t="shared" si="66"/>
        <v>0</v>
      </c>
      <c r="J231" s="24">
        <f t="shared" si="66"/>
        <v>0</v>
      </c>
      <c r="K231" s="24">
        <f t="shared" si="66"/>
        <v>0</v>
      </c>
      <c r="L231" s="24">
        <f t="shared" si="66"/>
        <v>0</v>
      </c>
      <c r="M231" s="24">
        <f t="shared" si="66"/>
        <v>0</v>
      </c>
      <c r="N231" s="24">
        <f t="shared" si="66"/>
        <v>0</v>
      </c>
      <c r="O231" s="24"/>
      <c r="P231" s="24">
        <f t="shared" si="66"/>
        <v>0</v>
      </c>
      <c r="Q231" s="24">
        <f t="shared" si="66"/>
        <v>0</v>
      </c>
      <c r="R231" s="24"/>
      <c r="S231" s="24">
        <f t="shared" si="66"/>
        <v>0</v>
      </c>
      <c r="T231" s="24">
        <f t="shared" si="66"/>
        <v>0</v>
      </c>
      <c r="U231" s="24">
        <f t="shared" si="66"/>
        <v>0</v>
      </c>
      <c r="V231" s="24">
        <f t="shared" si="66"/>
        <v>0</v>
      </c>
      <c r="W231" s="1" t="s">
        <v>216</v>
      </c>
    </row>
    <row r="232" spans="1:23" ht="24.9" customHeight="1" x14ac:dyDescent="0.25">
      <c r="A232" s="1192"/>
      <c r="B232" s="1200"/>
      <c r="C232" s="53" t="s">
        <v>17</v>
      </c>
      <c r="D232" s="9">
        <v>0.2</v>
      </c>
      <c r="E232" s="9"/>
      <c r="F232" s="9">
        <v>0.16</v>
      </c>
      <c r="G232" s="9">
        <v>0.27</v>
      </c>
      <c r="H232" s="9">
        <v>0.7</v>
      </c>
      <c r="I232" s="9">
        <v>0.25</v>
      </c>
      <c r="J232" s="9">
        <v>1.7</v>
      </c>
      <c r="K232" s="9">
        <v>3.6</v>
      </c>
      <c r="L232" s="9">
        <v>6</v>
      </c>
      <c r="M232" s="9">
        <v>15</v>
      </c>
      <c r="N232" s="9">
        <v>30</v>
      </c>
      <c r="O232" s="9"/>
      <c r="P232" s="9">
        <v>8</v>
      </c>
      <c r="Q232" s="9">
        <v>20</v>
      </c>
      <c r="R232" s="9">
        <f>+R230*1.16</f>
        <v>0</v>
      </c>
      <c r="S232" s="9">
        <v>60</v>
      </c>
      <c r="T232" s="10">
        <v>5</v>
      </c>
      <c r="U232" s="596">
        <v>9.1999999999999993</v>
      </c>
      <c r="V232" s="583">
        <v>16.600000000000001</v>
      </c>
    </row>
    <row r="233" spans="1:23" ht="24.9" customHeight="1" thickBot="1" x14ac:dyDescent="0.3">
      <c r="A233" s="1192"/>
      <c r="B233" s="1201"/>
      <c r="C233" s="51" t="s">
        <v>22</v>
      </c>
      <c r="D233" s="11">
        <v>0.25</v>
      </c>
      <c r="E233" s="11"/>
      <c r="F233" s="11">
        <v>0.18</v>
      </c>
      <c r="G233" s="11">
        <v>0.35</v>
      </c>
      <c r="H233" s="11">
        <v>0.7</v>
      </c>
      <c r="I233" s="11">
        <v>0.3</v>
      </c>
      <c r="J233" s="11">
        <v>2</v>
      </c>
      <c r="K233" s="11">
        <v>3.6</v>
      </c>
      <c r="L233" s="11">
        <v>6</v>
      </c>
      <c r="M233" s="11">
        <v>18</v>
      </c>
      <c r="N233" s="11">
        <v>30</v>
      </c>
      <c r="O233" s="11"/>
      <c r="P233" s="11">
        <v>11</v>
      </c>
      <c r="Q233" s="11">
        <v>20</v>
      </c>
      <c r="R233" s="11">
        <f>+R230*1.33</f>
        <v>0</v>
      </c>
      <c r="S233" s="11">
        <v>60</v>
      </c>
      <c r="T233" s="12">
        <v>5</v>
      </c>
      <c r="U233" s="606">
        <v>10</v>
      </c>
      <c r="V233" s="607">
        <v>16.600000000000001</v>
      </c>
    </row>
    <row r="234" spans="1:23" ht="24.9" customHeight="1" x14ac:dyDescent="0.25">
      <c r="A234" s="1192"/>
      <c r="B234" s="1188" t="s">
        <v>24</v>
      </c>
      <c r="C234" s="95"/>
      <c r="D234" s="97">
        <v>0.13200000000000001</v>
      </c>
      <c r="E234" s="97">
        <v>0.1</v>
      </c>
      <c r="F234" s="97">
        <v>8.2000000000000003E-2</v>
      </c>
      <c r="G234" s="97">
        <v>0.16400000000000001</v>
      </c>
      <c r="H234" s="97">
        <v>0.33</v>
      </c>
      <c r="I234" s="97"/>
      <c r="J234" s="97">
        <v>0.44</v>
      </c>
      <c r="K234" s="97">
        <v>0.77</v>
      </c>
      <c r="L234" s="97">
        <v>6</v>
      </c>
      <c r="M234" s="97">
        <v>7.4</v>
      </c>
      <c r="N234" s="97">
        <v>30</v>
      </c>
      <c r="O234" s="97">
        <v>4</v>
      </c>
      <c r="P234" s="97">
        <v>0.94</v>
      </c>
      <c r="Q234" s="97">
        <v>20</v>
      </c>
      <c r="R234" s="97"/>
      <c r="S234" s="97">
        <v>14</v>
      </c>
      <c r="T234" s="565">
        <v>1.4</v>
      </c>
      <c r="U234" s="609">
        <v>5</v>
      </c>
      <c r="V234" s="608">
        <v>5</v>
      </c>
    </row>
    <row r="235" spans="1:23" ht="24.9" customHeight="1" thickBot="1" x14ac:dyDescent="0.3">
      <c r="A235" s="1192"/>
      <c r="B235" s="1189"/>
      <c r="C235" s="99"/>
      <c r="D235" s="707">
        <f>+(D234-D$213)/D$213</f>
        <v>0</v>
      </c>
      <c r="E235" s="707">
        <f t="shared" ref="E235:V235" si="67">+(E234-E$213)/E$213</f>
        <v>0</v>
      </c>
      <c r="F235" s="707">
        <f t="shared" si="67"/>
        <v>0</v>
      </c>
      <c r="G235" s="707">
        <f t="shared" si="67"/>
        <v>0</v>
      </c>
      <c r="H235" s="707">
        <f t="shared" si="67"/>
        <v>0</v>
      </c>
      <c r="I235" s="707"/>
      <c r="J235" s="707">
        <f t="shared" si="67"/>
        <v>0</v>
      </c>
      <c r="K235" s="707">
        <f t="shared" si="67"/>
        <v>0</v>
      </c>
      <c r="L235" s="707">
        <f t="shared" si="67"/>
        <v>0</v>
      </c>
      <c r="M235" s="707">
        <f t="shared" si="67"/>
        <v>0</v>
      </c>
      <c r="N235" s="707">
        <f t="shared" si="67"/>
        <v>0</v>
      </c>
      <c r="O235" s="707">
        <f t="shared" si="67"/>
        <v>0</v>
      </c>
      <c r="P235" s="707">
        <f t="shared" si="67"/>
        <v>0</v>
      </c>
      <c r="Q235" s="707">
        <f t="shared" si="67"/>
        <v>0</v>
      </c>
      <c r="R235" s="707"/>
      <c r="S235" s="707">
        <f t="shared" si="67"/>
        <v>0</v>
      </c>
      <c r="T235" s="707">
        <f t="shared" si="67"/>
        <v>0</v>
      </c>
      <c r="U235" s="707">
        <f t="shared" si="67"/>
        <v>0</v>
      </c>
      <c r="V235" s="707">
        <f t="shared" si="67"/>
        <v>0</v>
      </c>
      <c r="W235" s="781" t="s">
        <v>216</v>
      </c>
    </row>
    <row r="236" spans="1:23" ht="24.9" customHeight="1" x14ac:dyDescent="0.25">
      <c r="A236" s="1192"/>
      <c r="B236" s="1198" t="s">
        <v>27</v>
      </c>
      <c r="C236" s="14" t="s">
        <v>16</v>
      </c>
      <c r="D236" s="42">
        <v>0.14119999999999999</v>
      </c>
      <c r="E236" s="285">
        <v>0.1</v>
      </c>
      <c r="F236" s="42">
        <v>9.4100000000000003E-2</v>
      </c>
      <c r="G236" s="42">
        <v>0.1883</v>
      </c>
      <c r="H236" s="42">
        <v>0.32950000000000002</v>
      </c>
      <c r="I236" s="42">
        <v>0.04</v>
      </c>
      <c r="J236" s="284">
        <v>0.9415</v>
      </c>
      <c r="K236" s="285">
        <v>1.5</v>
      </c>
      <c r="L236" s="285">
        <v>5</v>
      </c>
      <c r="M236" s="285">
        <v>15</v>
      </c>
      <c r="N236" s="285">
        <v>25</v>
      </c>
      <c r="O236" s="285"/>
      <c r="P236" s="285">
        <v>1.63</v>
      </c>
      <c r="Q236" s="285">
        <v>2.5</v>
      </c>
      <c r="R236" s="285">
        <v>0.02</v>
      </c>
      <c r="S236" s="285">
        <v>60</v>
      </c>
      <c r="T236" s="567">
        <v>8.5</v>
      </c>
      <c r="U236" s="611">
        <v>8</v>
      </c>
      <c r="V236" s="586">
        <v>13</v>
      </c>
    </row>
    <row r="237" spans="1:23" ht="27" customHeight="1" x14ac:dyDescent="0.25">
      <c r="A237" s="1192"/>
      <c r="B237" s="1190"/>
      <c r="C237" s="28"/>
      <c r="D237" s="38">
        <f>+(D236-D$215)/D$215</f>
        <v>0</v>
      </c>
      <c r="E237" s="38">
        <f t="shared" ref="E237:H237" si="68">+(E236-E$215)/E$215</f>
        <v>0</v>
      </c>
      <c r="F237" s="38">
        <f t="shared" si="68"/>
        <v>0</v>
      </c>
      <c r="G237" s="38">
        <f t="shared" si="68"/>
        <v>0</v>
      </c>
      <c r="H237" s="38">
        <f t="shared" si="68"/>
        <v>0</v>
      </c>
      <c r="I237" s="866" t="s">
        <v>221</v>
      </c>
      <c r="J237" s="38">
        <f t="shared" ref="J237:N237" si="69">+(J236-J$215)/J$215</f>
        <v>0</v>
      </c>
      <c r="K237" s="38">
        <f t="shared" si="69"/>
        <v>0</v>
      </c>
      <c r="L237" s="38">
        <f t="shared" si="69"/>
        <v>0</v>
      </c>
      <c r="M237" s="38">
        <f t="shared" si="69"/>
        <v>0</v>
      </c>
      <c r="N237" s="38">
        <f t="shared" si="69"/>
        <v>0</v>
      </c>
      <c r="O237" s="38"/>
      <c r="P237" s="866" t="s">
        <v>221</v>
      </c>
      <c r="Q237" s="866" t="s">
        <v>221</v>
      </c>
      <c r="R237" s="866" t="s">
        <v>221</v>
      </c>
      <c r="S237" s="38">
        <f t="shared" ref="S237" si="70">+(S236-S$215)/S$215</f>
        <v>0</v>
      </c>
      <c r="T237" s="38">
        <f t="shared" ref="T237" si="71">+(T236-T$215)/T$215</f>
        <v>0</v>
      </c>
      <c r="U237" s="38">
        <f t="shared" ref="U237" si="72">+(U236-U$215)/U$215</f>
        <v>0</v>
      </c>
      <c r="V237" s="38">
        <f t="shared" ref="V237" si="73">+(V236-V$215)/V$215</f>
        <v>0</v>
      </c>
      <c r="W237" s="781" t="s">
        <v>216</v>
      </c>
    </row>
    <row r="238" spans="1:23" ht="24.9" customHeight="1" thickBot="1" x14ac:dyDescent="0.3">
      <c r="A238" s="1192"/>
      <c r="B238" s="1201"/>
      <c r="C238" s="51" t="s">
        <v>17</v>
      </c>
      <c r="D238" s="859">
        <v>0.18360000000000001</v>
      </c>
      <c r="E238" s="860">
        <v>0.1</v>
      </c>
      <c r="F238" s="859">
        <v>0.12239999999999999</v>
      </c>
      <c r="G238" s="859">
        <v>0.24479999999999999</v>
      </c>
      <c r="H238" s="859">
        <v>0.4284</v>
      </c>
      <c r="I238" s="861">
        <v>0.04</v>
      </c>
      <c r="J238" s="859">
        <v>0.1239</v>
      </c>
      <c r="K238" s="862">
        <f>+K236</f>
        <v>1.5</v>
      </c>
      <c r="L238" s="860">
        <f>+L236</f>
        <v>5</v>
      </c>
      <c r="M238" s="860">
        <f>+M236</f>
        <v>15</v>
      </c>
      <c r="N238" s="860">
        <f>+N236</f>
        <v>25</v>
      </c>
      <c r="O238" s="860"/>
      <c r="P238" s="860">
        <v>1.63</v>
      </c>
      <c r="Q238" s="860">
        <v>2.5</v>
      </c>
      <c r="R238" s="860">
        <v>0.02</v>
      </c>
      <c r="S238" s="860">
        <f>+S236</f>
        <v>60</v>
      </c>
      <c r="T238" s="863">
        <f>+T236</f>
        <v>8.5</v>
      </c>
      <c r="U238" s="864">
        <v>8</v>
      </c>
      <c r="V238" s="865">
        <v>13</v>
      </c>
    </row>
    <row r="239" spans="1:23" ht="24.9" customHeight="1" x14ac:dyDescent="0.25">
      <c r="A239" s="1192"/>
      <c r="B239" s="1188" t="s">
        <v>26</v>
      </c>
      <c r="C239" s="95"/>
      <c r="D239" s="92">
        <v>0.192</v>
      </c>
      <c r="E239" s="92">
        <v>6.4000000000000001E-2</v>
      </c>
      <c r="F239" s="92">
        <v>0.128</v>
      </c>
      <c r="G239" s="92">
        <v>0.25700000000000001</v>
      </c>
      <c r="H239" s="92">
        <v>0.45</v>
      </c>
      <c r="I239" s="92">
        <v>0.1</v>
      </c>
      <c r="J239" s="92">
        <v>1.2809999999999999</v>
      </c>
      <c r="K239" s="92">
        <v>3.194</v>
      </c>
      <c r="L239" s="92">
        <v>5.32</v>
      </c>
      <c r="M239" s="92">
        <v>15.944000000000001</v>
      </c>
      <c r="N239" s="92">
        <v>26.58</v>
      </c>
      <c r="O239" s="92">
        <v>3.51</v>
      </c>
      <c r="P239" s="92">
        <v>9.6489999999999991</v>
      </c>
      <c r="Q239" s="92">
        <v>14.848000000000001</v>
      </c>
      <c r="R239" s="92">
        <v>0.13400000000000001</v>
      </c>
      <c r="S239" s="92">
        <v>54.396000000000001</v>
      </c>
      <c r="T239" s="570">
        <v>5.4409999999999998</v>
      </c>
      <c r="U239" s="613">
        <v>5.4</v>
      </c>
      <c r="V239" s="589">
        <v>8.9640000000000004</v>
      </c>
    </row>
    <row r="240" spans="1:23" s="781" customFormat="1" ht="27.75" customHeight="1" thickBot="1" x14ac:dyDescent="0.3">
      <c r="A240" s="1192"/>
      <c r="B240" s="1189"/>
      <c r="C240" s="96"/>
      <c r="D240" s="30">
        <f>+(D239-D$218)/D$218</f>
        <v>-9.8591549295774614E-2</v>
      </c>
      <c r="E240" s="30">
        <f t="shared" ref="E240:V240" si="74">+(E239-E$218)/E$218</f>
        <v>-9.8591549295774544E-2</v>
      </c>
      <c r="F240" s="30">
        <f t="shared" si="74"/>
        <v>-9.8591549295774544E-2</v>
      </c>
      <c r="G240" s="30">
        <f t="shared" si="74"/>
        <v>-9.8245614035087622E-2</v>
      </c>
      <c r="H240" s="30">
        <f t="shared" si="74"/>
        <v>-9.9999999999999978E-2</v>
      </c>
      <c r="I240" s="882" t="s">
        <v>221</v>
      </c>
      <c r="J240" s="30">
        <f t="shared" si="74"/>
        <v>-9.9789177793394329E-2</v>
      </c>
      <c r="K240" s="30">
        <f t="shared" si="74"/>
        <v>-0.10002817695125388</v>
      </c>
      <c r="L240" s="30">
        <f t="shared" si="74"/>
        <v>-9.9983082388766589E-2</v>
      </c>
      <c r="M240" s="30">
        <f t="shared" si="74"/>
        <v>-0.10002257846014903</v>
      </c>
      <c r="N240" s="30">
        <f t="shared" si="74"/>
        <v>-0.10059892396711002</v>
      </c>
      <c r="O240" s="30">
        <f t="shared" si="74"/>
        <v>-0.10000000000000003</v>
      </c>
      <c r="P240" s="30">
        <f t="shared" si="74"/>
        <v>-9.9990672511892642E-2</v>
      </c>
      <c r="Q240" s="30">
        <f t="shared" si="74"/>
        <v>-0.10001212268153717</v>
      </c>
      <c r="R240" s="30">
        <f t="shared" si="74"/>
        <v>-0.10067114093959723</v>
      </c>
      <c r="S240" s="30">
        <f t="shared" si="74"/>
        <v>-0.10302750478200642</v>
      </c>
      <c r="T240" s="571">
        <f t="shared" si="74"/>
        <v>-9.9917287014061218E-2</v>
      </c>
      <c r="U240" s="614">
        <f t="shared" si="74"/>
        <v>-9.9999999999999936E-2</v>
      </c>
      <c r="V240" s="590">
        <f t="shared" si="74"/>
        <v>-0.10000000000000003</v>
      </c>
    </row>
    <row r="241" spans="1:23" ht="24.9" customHeight="1" x14ac:dyDescent="0.25">
      <c r="A241" s="1192"/>
      <c r="B241" s="1198" t="s">
        <v>28</v>
      </c>
      <c r="C241" s="14" t="s">
        <v>16</v>
      </c>
      <c r="D241" s="46">
        <v>0.16399999999999995</v>
      </c>
      <c r="E241" s="46"/>
      <c r="F241" s="46">
        <v>0.109</v>
      </c>
      <c r="G241" s="46">
        <v>0.22</v>
      </c>
      <c r="H241" s="46">
        <v>0.38299999999999995</v>
      </c>
      <c r="I241" s="46">
        <v>0.16399999999999995</v>
      </c>
      <c r="J241" s="46">
        <v>1.3739999999999999</v>
      </c>
      <c r="K241" s="46">
        <v>2.3759999999999994</v>
      </c>
      <c r="L241" s="46">
        <v>6</v>
      </c>
      <c r="M241" s="46">
        <v>11.880000000000003</v>
      </c>
      <c r="N241" s="46">
        <v>30</v>
      </c>
      <c r="O241" s="46"/>
      <c r="P241" s="46">
        <v>8.58</v>
      </c>
      <c r="Q241" s="46">
        <v>20</v>
      </c>
      <c r="R241" s="46">
        <v>0.125</v>
      </c>
      <c r="S241" s="46">
        <v>43.35</v>
      </c>
      <c r="T241" s="572"/>
      <c r="U241" s="615">
        <v>6</v>
      </c>
      <c r="V241" s="591">
        <v>16.600000000000001</v>
      </c>
    </row>
    <row r="242" spans="1:23" ht="24.9" customHeight="1" x14ac:dyDescent="0.25">
      <c r="A242" s="1192"/>
      <c r="B242" s="1199"/>
      <c r="C242" s="15"/>
      <c r="D242" s="34">
        <f>+(D241-D$220)/D$220</f>
        <v>0</v>
      </c>
      <c r="E242" s="34"/>
      <c r="F242" s="34">
        <f t="shared" ref="F242:V242" si="75">+(F241-F$220)/F$220</f>
        <v>0</v>
      </c>
      <c r="G242" s="34">
        <f t="shared" si="75"/>
        <v>0</v>
      </c>
      <c r="H242" s="34">
        <f t="shared" si="75"/>
        <v>0</v>
      </c>
      <c r="I242" s="34">
        <f t="shared" si="75"/>
        <v>0</v>
      </c>
      <c r="J242" s="34">
        <f t="shared" si="75"/>
        <v>0</v>
      </c>
      <c r="K242" s="34">
        <f t="shared" si="75"/>
        <v>0</v>
      </c>
      <c r="L242" s="34">
        <f t="shared" si="75"/>
        <v>0</v>
      </c>
      <c r="M242" s="34">
        <f t="shared" si="75"/>
        <v>0</v>
      </c>
      <c r="N242" s="34">
        <f t="shared" si="75"/>
        <v>0</v>
      </c>
      <c r="O242" s="34"/>
      <c r="P242" s="34">
        <f t="shared" si="75"/>
        <v>0</v>
      </c>
      <c r="Q242" s="34">
        <f t="shared" si="75"/>
        <v>0</v>
      </c>
      <c r="R242" s="34">
        <f t="shared" si="75"/>
        <v>0</v>
      </c>
      <c r="S242" s="34">
        <f t="shared" si="75"/>
        <v>0</v>
      </c>
      <c r="T242" s="34"/>
      <c r="U242" s="34">
        <f t="shared" si="75"/>
        <v>0</v>
      </c>
      <c r="V242" s="34">
        <f t="shared" si="75"/>
        <v>0</v>
      </c>
      <c r="W242" s="1" t="s">
        <v>216</v>
      </c>
    </row>
    <row r="243" spans="1:23" ht="24.9" customHeight="1" x14ac:dyDescent="0.25">
      <c r="A243" s="1192"/>
      <c r="B243" s="1200"/>
      <c r="C243" s="53"/>
      <c r="D243" s="138"/>
      <c r="E243" s="138"/>
      <c r="F243" s="138"/>
      <c r="G243" s="138"/>
      <c r="H243" s="138"/>
      <c r="I243" s="138"/>
      <c r="J243" s="138"/>
      <c r="K243" s="708"/>
      <c r="L243" s="708"/>
      <c r="M243" s="708"/>
      <c r="N243" s="708"/>
      <c r="O243" s="708"/>
      <c r="P243" s="708"/>
      <c r="Q243" s="708"/>
      <c r="R243" s="138"/>
      <c r="S243" s="708"/>
      <c r="T243" s="709"/>
      <c r="U243" s="710"/>
      <c r="V243" s="708"/>
    </row>
    <row r="244" spans="1:23" ht="24.9" customHeight="1" thickBot="1" x14ac:dyDescent="0.3">
      <c r="A244" s="1192"/>
      <c r="B244" s="1204"/>
      <c r="C244" s="327"/>
      <c r="D244" s="434"/>
      <c r="E244" s="434"/>
      <c r="F244" s="434"/>
      <c r="G244" s="434"/>
      <c r="H244" s="434"/>
      <c r="I244" s="434"/>
      <c r="J244" s="434"/>
      <c r="K244" s="744"/>
      <c r="L244" s="744"/>
      <c r="M244" s="744"/>
      <c r="N244" s="744"/>
      <c r="O244" s="744"/>
      <c r="P244" s="744"/>
      <c r="Q244" s="744"/>
      <c r="R244" s="434"/>
      <c r="S244" s="744"/>
      <c r="T244" s="745"/>
      <c r="U244" s="746"/>
      <c r="V244" s="743"/>
    </row>
    <row r="245" spans="1:23" ht="24.9" customHeight="1" x14ac:dyDescent="0.25">
      <c r="A245" s="1205"/>
      <c r="B245" s="1188" t="s">
        <v>29</v>
      </c>
      <c r="C245" s="14" t="s">
        <v>16</v>
      </c>
      <c r="D245" s="747">
        <v>0.15</v>
      </c>
      <c r="E245" s="747">
        <v>0.1</v>
      </c>
      <c r="F245" s="747">
        <v>0.12</v>
      </c>
      <c r="G245" s="747">
        <v>0.22</v>
      </c>
      <c r="H245" s="747">
        <v>0.35</v>
      </c>
      <c r="I245" s="747">
        <v>0.2</v>
      </c>
      <c r="J245" s="747">
        <v>1</v>
      </c>
      <c r="K245" s="748">
        <v>2.2000000000000002</v>
      </c>
      <c r="L245" s="747">
        <v>3.7</v>
      </c>
      <c r="M245" s="747">
        <v>12</v>
      </c>
      <c r="N245" s="747">
        <v>20</v>
      </c>
      <c r="O245" s="747">
        <v>4</v>
      </c>
      <c r="P245" s="747">
        <v>9</v>
      </c>
      <c r="Q245" s="747">
        <v>13.8</v>
      </c>
      <c r="R245" s="747">
        <v>0.1</v>
      </c>
      <c r="S245" s="747">
        <v>20</v>
      </c>
      <c r="T245" s="747">
        <v>2</v>
      </c>
      <c r="U245" s="747">
        <v>6</v>
      </c>
      <c r="V245" s="749">
        <v>6</v>
      </c>
    </row>
    <row r="246" spans="1:23" s="758" customFormat="1" ht="24.9" customHeight="1" thickBot="1" x14ac:dyDescent="0.3">
      <c r="A246" s="755"/>
      <c r="B246" s="1189"/>
      <c r="C246" s="756"/>
      <c r="D246" s="750">
        <f>+(D245-D$224)/D$224</f>
        <v>0</v>
      </c>
      <c r="E246" s="750">
        <f>+(E245-E$224)/E$224</f>
        <v>0</v>
      </c>
      <c r="F246" s="750">
        <f t="shared" ref="F246:V246" si="76">+(F245-F$224)/F$224</f>
        <v>0</v>
      </c>
      <c r="G246" s="750">
        <f t="shared" si="76"/>
        <v>0</v>
      </c>
      <c r="H246" s="750">
        <f t="shared" si="76"/>
        <v>0</v>
      </c>
      <c r="I246" s="750">
        <f t="shared" si="76"/>
        <v>0</v>
      </c>
      <c r="J246" s="750">
        <f t="shared" si="76"/>
        <v>0</v>
      </c>
      <c r="K246" s="750">
        <f t="shared" si="76"/>
        <v>0</v>
      </c>
      <c r="L246" s="750">
        <f t="shared" si="76"/>
        <v>0</v>
      </c>
      <c r="M246" s="750">
        <f t="shared" si="76"/>
        <v>0</v>
      </c>
      <c r="N246" s="750">
        <f t="shared" si="76"/>
        <v>0</v>
      </c>
      <c r="O246" s="750">
        <f t="shared" si="76"/>
        <v>0.33333333333333331</v>
      </c>
      <c r="P246" s="750">
        <f t="shared" si="76"/>
        <v>0</v>
      </c>
      <c r="Q246" s="750">
        <f t="shared" si="76"/>
        <v>0</v>
      </c>
      <c r="R246" s="750">
        <f t="shared" si="76"/>
        <v>0</v>
      </c>
      <c r="S246" s="750">
        <f t="shared" si="76"/>
        <v>0</v>
      </c>
      <c r="T246" s="750">
        <f t="shared" si="76"/>
        <v>0</v>
      </c>
      <c r="U246" s="750">
        <f t="shared" si="76"/>
        <v>0.2</v>
      </c>
      <c r="V246" s="750">
        <f t="shared" si="76"/>
        <v>0.2</v>
      </c>
      <c r="W246" s="757" t="s">
        <v>216</v>
      </c>
    </row>
    <row r="247" spans="1:23" ht="24.9" customHeight="1" thickBot="1" x14ac:dyDescent="0.3"/>
    <row r="248" spans="1:23" ht="93" customHeight="1" x14ac:dyDescent="0.25">
      <c r="A248" s="1191">
        <v>2020</v>
      </c>
      <c r="B248" s="1194" t="s">
        <v>30</v>
      </c>
      <c r="C248" s="1195"/>
      <c r="D248" s="19" t="s">
        <v>0</v>
      </c>
      <c r="E248" s="19" t="s">
        <v>25</v>
      </c>
      <c r="F248" s="19" t="s">
        <v>1</v>
      </c>
      <c r="G248" s="19" t="s">
        <v>2</v>
      </c>
      <c r="H248" s="19" t="s">
        <v>13</v>
      </c>
      <c r="I248" s="19" t="s">
        <v>14</v>
      </c>
      <c r="J248" s="19" t="s">
        <v>10</v>
      </c>
      <c r="K248" s="19" t="s">
        <v>3</v>
      </c>
      <c r="L248" s="19" t="s">
        <v>4</v>
      </c>
      <c r="M248" s="19" t="s">
        <v>19</v>
      </c>
      <c r="N248" s="19" t="s">
        <v>20</v>
      </c>
      <c r="O248" s="19" t="s">
        <v>152</v>
      </c>
      <c r="P248" s="19" t="s">
        <v>5</v>
      </c>
      <c r="Q248" s="19" t="s">
        <v>6</v>
      </c>
      <c r="R248" s="19" t="s">
        <v>18</v>
      </c>
      <c r="S248" s="19" t="s">
        <v>7</v>
      </c>
      <c r="T248" s="20" t="s">
        <v>8</v>
      </c>
      <c r="U248" s="19" t="s">
        <v>199</v>
      </c>
      <c r="V248" s="580" t="s">
        <v>200</v>
      </c>
    </row>
    <row r="249" spans="1:23" ht="24.9" customHeight="1" thickBot="1" x14ac:dyDescent="0.3">
      <c r="A249" s="1192"/>
      <c r="B249" s="1196"/>
      <c r="C249" s="1197"/>
      <c r="D249" s="22" t="s">
        <v>9</v>
      </c>
      <c r="E249" s="22"/>
      <c r="F249" s="22" t="s">
        <v>9</v>
      </c>
      <c r="G249" s="22" t="s">
        <v>9</v>
      </c>
      <c r="H249" s="22" t="s">
        <v>9</v>
      </c>
      <c r="I249" s="22" t="s">
        <v>9</v>
      </c>
      <c r="J249" s="22" t="s">
        <v>9</v>
      </c>
      <c r="K249" s="22" t="s">
        <v>9</v>
      </c>
      <c r="L249" s="22" t="s">
        <v>9</v>
      </c>
      <c r="M249" s="22" t="s">
        <v>11</v>
      </c>
      <c r="N249" s="22" t="s">
        <v>11</v>
      </c>
      <c r="O249" s="22" t="s">
        <v>11</v>
      </c>
      <c r="P249" s="22" t="s">
        <v>9</v>
      </c>
      <c r="Q249" s="22" t="s">
        <v>9</v>
      </c>
      <c r="R249" s="22" t="s">
        <v>21</v>
      </c>
      <c r="S249" s="22" t="s">
        <v>12</v>
      </c>
      <c r="T249" s="23" t="s">
        <v>12</v>
      </c>
      <c r="U249" s="22" t="s">
        <v>9</v>
      </c>
      <c r="V249" s="23" t="s">
        <v>9</v>
      </c>
    </row>
    <row r="250" spans="1:23" ht="24.9" customHeight="1" x14ac:dyDescent="0.25">
      <c r="A250" s="1192"/>
      <c r="B250" s="1188" t="s">
        <v>23</v>
      </c>
      <c r="C250" s="1202" t="s">
        <v>16</v>
      </c>
      <c r="D250" s="31">
        <v>0.15</v>
      </c>
      <c r="E250" s="31"/>
      <c r="F250" s="31">
        <v>0.15</v>
      </c>
      <c r="G250" s="31">
        <v>0.18</v>
      </c>
      <c r="H250" s="31">
        <v>0.6</v>
      </c>
      <c r="I250" s="33">
        <v>0.18</v>
      </c>
      <c r="J250" s="31">
        <v>1.2</v>
      </c>
      <c r="K250" s="31">
        <v>3</v>
      </c>
      <c r="L250" s="31">
        <v>6</v>
      </c>
      <c r="M250" s="31">
        <v>15</v>
      </c>
      <c r="N250" s="31">
        <v>30</v>
      </c>
      <c r="O250" s="31"/>
      <c r="P250" s="31">
        <v>7</v>
      </c>
      <c r="Q250" s="31">
        <v>20</v>
      </c>
      <c r="R250" s="31"/>
      <c r="S250" s="31">
        <v>60</v>
      </c>
      <c r="T250" s="32">
        <v>5</v>
      </c>
      <c r="U250" s="31">
        <v>8.3000000000000007</v>
      </c>
      <c r="V250" s="581">
        <v>16.600000000000001</v>
      </c>
    </row>
    <row r="251" spans="1:23" ht="24.9" customHeight="1" x14ac:dyDescent="0.25">
      <c r="A251" s="1192"/>
      <c r="B251" s="1190"/>
      <c r="C251" s="1203"/>
      <c r="D251" s="24">
        <f>+(D250-D$209)/D$209</f>
        <v>0</v>
      </c>
      <c r="E251" s="24"/>
      <c r="F251" s="24">
        <f t="shared" ref="F251:V251" si="77">+(F250-F$209)/F$209</f>
        <v>0</v>
      </c>
      <c r="G251" s="24">
        <f t="shared" si="77"/>
        <v>0</v>
      </c>
      <c r="H251" s="24">
        <f t="shared" si="77"/>
        <v>0</v>
      </c>
      <c r="I251" s="24">
        <f t="shared" si="77"/>
        <v>0</v>
      </c>
      <c r="J251" s="24">
        <f t="shared" si="77"/>
        <v>0</v>
      </c>
      <c r="K251" s="24">
        <f t="shared" si="77"/>
        <v>0</v>
      </c>
      <c r="L251" s="24">
        <f t="shared" si="77"/>
        <v>0</v>
      </c>
      <c r="M251" s="24">
        <f t="shared" si="77"/>
        <v>0</v>
      </c>
      <c r="N251" s="24">
        <f t="shared" si="77"/>
        <v>0</v>
      </c>
      <c r="O251" s="24"/>
      <c r="P251" s="24">
        <f t="shared" si="77"/>
        <v>0</v>
      </c>
      <c r="Q251" s="24">
        <f t="shared" si="77"/>
        <v>0</v>
      </c>
      <c r="R251" s="24"/>
      <c r="S251" s="24">
        <f t="shared" si="77"/>
        <v>0</v>
      </c>
      <c r="T251" s="24">
        <f t="shared" si="77"/>
        <v>0</v>
      </c>
      <c r="U251" s="24">
        <f t="shared" si="77"/>
        <v>0</v>
      </c>
      <c r="V251" s="24">
        <f t="shared" si="77"/>
        <v>0</v>
      </c>
      <c r="W251" s="1" t="s">
        <v>216</v>
      </c>
    </row>
    <row r="252" spans="1:23" ht="24.9" customHeight="1" x14ac:dyDescent="0.25">
      <c r="A252" s="1192"/>
      <c r="B252" s="1190"/>
      <c r="C252" s="53" t="s">
        <v>17</v>
      </c>
      <c r="D252" s="9"/>
      <c r="E252" s="9"/>
      <c r="F252" s="9">
        <v>0.16</v>
      </c>
      <c r="G252" s="9">
        <v>0.27</v>
      </c>
      <c r="H252" s="9">
        <v>0.7</v>
      </c>
      <c r="I252" s="9">
        <v>0.25</v>
      </c>
      <c r="J252" s="9">
        <v>1.7</v>
      </c>
      <c r="K252" s="9">
        <v>3.6</v>
      </c>
      <c r="L252" s="9">
        <v>6</v>
      </c>
      <c r="M252" s="9">
        <v>15</v>
      </c>
      <c r="N252" s="9">
        <v>30</v>
      </c>
      <c r="O252" s="9"/>
      <c r="P252" s="9">
        <v>8</v>
      </c>
      <c r="Q252" s="9">
        <v>20</v>
      </c>
      <c r="R252" s="9">
        <f>+R250*1.16</f>
        <v>0</v>
      </c>
      <c r="S252" s="9">
        <v>60</v>
      </c>
      <c r="T252" s="10">
        <v>5</v>
      </c>
      <c r="U252" s="596">
        <v>9.1999999999999993</v>
      </c>
      <c r="V252" s="583">
        <v>16.600000000000001</v>
      </c>
    </row>
    <row r="253" spans="1:23" ht="24.9" customHeight="1" thickBot="1" x14ac:dyDescent="0.3">
      <c r="A253" s="1192"/>
      <c r="B253" s="1189"/>
      <c r="C253" s="51" t="s">
        <v>22</v>
      </c>
      <c r="D253" s="11">
        <v>0.25</v>
      </c>
      <c r="E253" s="11"/>
      <c r="F253" s="11">
        <v>0.18</v>
      </c>
      <c r="G253" s="11">
        <v>0.35</v>
      </c>
      <c r="H253" s="11">
        <v>0.7</v>
      </c>
      <c r="I253" s="11">
        <v>0.3</v>
      </c>
      <c r="J253" s="11">
        <v>2</v>
      </c>
      <c r="K253" s="11">
        <v>3.6</v>
      </c>
      <c r="L253" s="11">
        <v>6</v>
      </c>
      <c r="M253" s="11">
        <v>18</v>
      </c>
      <c r="N253" s="11">
        <v>30</v>
      </c>
      <c r="O253" s="11"/>
      <c r="P253" s="11">
        <v>11</v>
      </c>
      <c r="Q253" s="11">
        <v>20</v>
      </c>
      <c r="R253" s="11">
        <f>+R250*1.33</f>
        <v>0</v>
      </c>
      <c r="S253" s="11">
        <v>60</v>
      </c>
      <c r="T253" s="12">
        <v>5</v>
      </c>
      <c r="U253" s="606">
        <v>10</v>
      </c>
      <c r="V253" s="607">
        <v>16.600000000000001</v>
      </c>
    </row>
    <row r="254" spans="1:23" ht="24.9" customHeight="1" x14ac:dyDescent="0.25">
      <c r="A254" s="1192"/>
      <c r="B254" s="1188" t="s">
        <v>24</v>
      </c>
      <c r="C254" s="711"/>
      <c r="D254" s="97">
        <v>0.13200000000000001</v>
      </c>
      <c r="E254" s="97">
        <v>0.1</v>
      </c>
      <c r="F254" s="97">
        <v>8.2000000000000003E-2</v>
      </c>
      <c r="G254" s="97">
        <v>0.16400000000000001</v>
      </c>
      <c r="H254" s="97">
        <v>0.33</v>
      </c>
      <c r="I254" s="97"/>
      <c r="J254" s="97">
        <v>0.44</v>
      </c>
      <c r="K254" s="97">
        <v>0.77</v>
      </c>
      <c r="L254" s="97">
        <v>6</v>
      </c>
      <c r="M254" s="97">
        <v>7.4</v>
      </c>
      <c r="N254" s="97">
        <v>30</v>
      </c>
      <c r="O254" s="97">
        <v>4</v>
      </c>
      <c r="P254" s="97">
        <v>0.94</v>
      </c>
      <c r="Q254" s="97">
        <v>20</v>
      </c>
      <c r="R254" s="97"/>
      <c r="S254" s="97">
        <v>14</v>
      </c>
      <c r="T254" s="565">
        <v>1.4</v>
      </c>
      <c r="U254" s="609">
        <v>5</v>
      </c>
      <c r="V254" s="608">
        <v>5</v>
      </c>
    </row>
    <row r="255" spans="1:23" ht="24.9" customHeight="1" thickBot="1" x14ac:dyDescent="0.3">
      <c r="A255" s="1192"/>
      <c r="B255" s="1189"/>
      <c r="C255" s="712"/>
      <c r="D255" s="707">
        <f>+(D254-D$213)/D$213</f>
        <v>0</v>
      </c>
      <c r="E255" s="707">
        <f t="shared" ref="E255" si="78">+(E254-E$213)/E$213</f>
        <v>0</v>
      </c>
      <c r="F255" s="707">
        <f t="shared" ref="F255" si="79">+(F254-F$213)/F$213</f>
        <v>0</v>
      </c>
      <c r="G255" s="707">
        <f t="shared" ref="G255" si="80">+(G254-G$213)/G$213</f>
        <v>0</v>
      </c>
      <c r="H255" s="707">
        <f t="shared" ref="H255" si="81">+(H254-H$213)/H$213</f>
        <v>0</v>
      </c>
      <c r="I255" s="707"/>
      <c r="J255" s="707">
        <f t="shared" ref="J255" si="82">+(J254-J$213)/J$213</f>
        <v>0</v>
      </c>
      <c r="K255" s="707">
        <f t="shared" ref="K255" si="83">+(K254-K$213)/K$213</f>
        <v>0</v>
      </c>
      <c r="L255" s="707">
        <f t="shared" ref="L255" si="84">+(L254-L$213)/L$213</f>
        <v>0</v>
      </c>
      <c r="M255" s="707">
        <f t="shared" ref="M255" si="85">+(M254-M$213)/M$213</f>
        <v>0</v>
      </c>
      <c r="N255" s="707">
        <f t="shared" ref="N255" si="86">+(N254-N$213)/N$213</f>
        <v>0</v>
      </c>
      <c r="O255" s="707">
        <f t="shared" ref="O255" si="87">+(O254-O$213)/O$213</f>
        <v>0</v>
      </c>
      <c r="P255" s="707">
        <f t="shared" ref="P255" si="88">+(P254-P$213)/P$213</f>
        <v>0</v>
      </c>
      <c r="Q255" s="707">
        <f t="shared" ref="Q255" si="89">+(Q254-Q$213)/Q$213</f>
        <v>0</v>
      </c>
      <c r="R255" s="707"/>
      <c r="S255" s="707">
        <f t="shared" ref="S255" si="90">+(S254-S$213)/S$213</f>
        <v>0</v>
      </c>
      <c r="T255" s="707">
        <f t="shared" ref="T255" si="91">+(T254-T$213)/T$213</f>
        <v>0</v>
      </c>
      <c r="U255" s="707">
        <f t="shared" ref="U255" si="92">+(U254-U$213)/U$213</f>
        <v>0</v>
      </c>
      <c r="V255" s="707">
        <f t="shared" ref="V255" si="93">+(V254-V$213)/V$213</f>
        <v>0</v>
      </c>
      <c r="W255" s="1" t="s">
        <v>216</v>
      </c>
    </row>
    <row r="256" spans="1:23" ht="24.9" customHeight="1" x14ac:dyDescent="0.25">
      <c r="A256" s="1192"/>
      <c r="B256" s="1198" t="s">
        <v>27</v>
      </c>
      <c r="C256" s="14" t="s">
        <v>16</v>
      </c>
      <c r="D256" s="42">
        <v>0.14119999999999999</v>
      </c>
      <c r="E256" s="285">
        <v>0.1</v>
      </c>
      <c r="F256" s="42">
        <v>9.4100000000000003E-2</v>
      </c>
      <c r="G256" s="42">
        <v>0.1883</v>
      </c>
      <c r="H256" s="42">
        <v>0.32950000000000002</v>
      </c>
      <c r="I256" s="42">
        <v>0.04</v>
      </c>
      <c r="J256" s="284">
        <v>0.9415</v>
      </c>
      <c r="K256" s="285">
        <v>1.5</v>
      </c>
      <c r="L256" s="285">
        <v>5</v>
      </c>
      <c r="M256" s="285">
        <v>15</v>
      </c>
      <c r="N256" s="285">
        <v>25</v>
      </c>
      <c r="O256" s="285"/>
      <c r="P256" s="285">
        <v>1.63</v>
      </c>
      <c r="Q256" s="285">
        <v>2.5</v>
      </c>
      <c r="R256" s="285">
        <v>0.02</v>
      </c>
      <c r="S256" s="285">
        <v>60</v>
      </c>
      <c r="T256" s="567">
        <v>8.5</v>
      </c>
      <c r="U256" s="611">
        <v>8</v>
      </c>
      <c r="V256" s="586">
        <v>13</v>
      </c>
    </row>
    <row r="257" spans="1:23" ht="24.9" customHeight="1" x14ac:dyDescent="0.25">
      <c r="A257" s="1192"/>
      <c r="B257" s="1190"/>
      <c r="C257" s="28"/>
      <c r="D257" s="38">
        <f>+(D256-D$215)/D$215</f>
        <v>0</v>
      </c>
      <c r="E257" s="38">
        <f t="shared" ref="E257:H257" si="94">+(E256-E$215)/E$215</f>
        <v>0</v>
      </c>
      <c r="F257" s="38">
        <f t="shared" si="94"/>
        <v>0</v>
      </c>
      <c r="G257" s="38">
        <f t="shared" si="94"/>
        <v>0</v>
      </c>
      <c r="H257" s="38">
        <f t="shared" si="94"/>
        <v>0</v>
      </c>
      <c r="I257" s="866" t="s">
        <v>221</v>
      </c>
      <c r="J257" s="38">
        <f t="shared" ref="J257:N257" si="95">+(J256-J$215)/J$215</f>
        <v>0</v>
      </c>
      <c r="K257" s="38">
        <f t="shared" si="95"/>
        <v>0</v>
      </c>
      <c r="L257" s="38">
        <f t="shared" si="95"/>
        <v>0</v>
      </c>
      <c r="M257" s="38">
        <f t="shared" si="95"/>
        <v>0</v>
      </c>
      <c r="N257" s="38">
        <f t="shared" si="95"/>
        <v>0</v>
      </c>
      <c r="O257" s="38"/>
      <c r="P257" s="866" t="s">
        <v>221</v>
      </c>
      <c r="Q257" s="866" t="s">
        <v>221</v>
      </c>
      <c r="R257" s="866" t="s">
        <v>221</v>
      </c>
      <c r="S257" s="38">
        <f t="shared" ref="S257:V257" si="96">+(S256-S$215)/S$215</f>
        <v>0</v>
      </c>
      <c r="T257" s="38">
        <f t="shared" si="96"/>
        <v>0</v>
      </c>
      <c r="U257" s="38">
        <f t="shared" si="96"/>
        <v>0</v>
      </c>
      <c r="V257" s="38">
        <f t="shared" si="96"/>
        <v>0</v>
      </c>
      <c r="W257" s="1" t="s">
        <v>216</v>
      </c>
    </row>
    <row r="258" spans="1:23" ht="24.9" customHeight="1" thickBot="1" x14ac:dyDescent="0.3">
      <c r="A258" s="1192"/>
      <c r="B258" s="1201"/>
      <c r="C258" s="51" t="s">
        <v>17</v>
      </c>
      <c r="D258" s="859">
        <v>0.18360000000000001</v>
      </c>
      <c r="E258" s="860">
        <v>0.1</v>
      </c>
      <c r="F258" s="859">
        <v>0.12239999999999999</v>
      </c>
      <c r="G258" s="859">
        <v>0.24479999999999999</v>
      </c>
      <c r="H258" s="859">
        <v>0.4284</v>
      </c>
      <c r="I258" s="861">
        <v>0.04</v>
      </c>
      <c r="J258" s="859">
        <v>0.1239</v>
      </c>
      <c r="K258" s="862">
        <f>+K256</f>
        <v>1.5</v>
      </c>
      <c r="L258" s="860">
        <f>+L256</f>
        <v>5</v>
      </c>
      <c r="M258" s="860">
        <f>+M256</f>
        <v>15</v>
      </c>
      <c r="N258" s="860">
        <f>+N256</f>
        <v>25</v>
      </c>
      <c r="O258" s="860"/>
      <c r="P258" s="860">
        <v>1.63</v>
      </c>
      <c r="Q258" s="860">
        <v>2.5</v>
      </c>
      <c r="R258" s="860">
        <v>0.02</v>
      </c>
      <c r="S258" s="860">
        <f>+S256</f>
        <v>60</v>
      </c>
      <c r="T258" s="863">
        <f>+T256</f>
        <v>8.5</v>
      </c>
      <c r="U258" s="864">
        <v>8</v>
      </c>
      <c r="V258" s="865">
        <v>13</v>
      </c>
    </row>
    <row r="259" spans="1:23" ht="24.9" customHeight="1" x14ac:dyDescent="0.25">
      <c r="A259" s="1192"/>
      <c r="B259" s="1188" t="s">
        <v>26</v>
      </c>
      <c r="C259" s="711"/>
      <c r="D259" s="92">
        <v>0.192</v>
      </c>
      <c r="E259" s="92">
        <v>6.4000000000000001E-2</v>
      </c>
      <c r="F259" s="92">
        <v>0.128</v>
      </c>
      <c r="G259" s="92">
        <v>0.25700000000000001</v>
      </c>
      <c r="H259" s="92">
        <v>0.45</v>
      </c>
      <c r="I259" s="92">
        <v>0.1</v>
      </c>
      <c r="J259" s="92">
        <v>1.2809999999999999</v>
      </c>
      <c r="K259" s="92">
        <v>3.194</v>
      </c>
      <c r="L259" s="92">
        <v>5.32</v>
      </c>
      <c r="M259" s="92">
        <v>15.944000000000001</v>
      </c>
      <c r="N259" s="92">
        <v>26.58</v>
      </c>
      <c r="O259" s="92">
        <v>3.51</v>
      </c>
      <c r="P259" s="92">
        <v>9.6489999999999991</v>
      </c>
      <c r="Q259" s="92">
        <v>14.848000000000001</v>
      </c>
      <c r="R259" s="92">
        <v>0.13400000000000001</v>
      </c>
      <c r="S259" s="92">
        <v>54.396000000000001</v>
      </c>
      <c r="T259" s="570">
        <v>5.4409999999999998</v>
      </c>
      <c r="U259" s="613">
        <v>5.4</v>
      </c>
      <c r="V259" s="589">
        <v>8.9640000000000004</v>
      </c>
    </row>
    <row r="260" spans="1:23" s="781" customFormat="1" ht="24.9" customHeight="1" thickBot="1" x14ac:dyDescent="0.3">
      <c r="A260" s="1192"/>
      <c r="B260" s="1189"/>
      <c r="C260" s="96"/>
      <c r="D260" s="30">
        <f>+(D259-D$218)/D$218</f>
        <v>-9.8591549295774614E-2</v>
      </c>
      <c r="E260" s="30">
        <f t="shared" ref="E260" si="97">+(E259-E$218)/E$218</f>
        <v>-9.8591549295774544E-2</v>
      </c>
      <c r="F260" s="30">
        <f t="shared" ref="F260" si="98">+(F259-F$218)/F$218</f>
        <v>-9.8591549295774544E-2</v>
      </c>
      <c r="G260" s="30">
        <f t="shared" ref="G260" si="99">+(G259-G$218)/G$218</f>
        <v>-9.8245614035087622E-2</v>
      </c>
      <c r="H260" s="30">
        <f t="shared" ref="H260" si="100">+(H259-H$218)/H$218</f>
        <v>-9.9999999999999978E-2</v>
      </c>
      <c r="I260" s="882" t="s">
        <v>221</v>
      </c>
      <c r="J260" s="30">
        <f t="shared" ref="J260" si="101">+(J259-J$218)/J$218</f>
        <v>-9.9789177793394329E-2</v>
      </c>
      <c r="K260" s="30">
        <f t="shared" ref="K260" si="102">+(K259-K$218)/K$218</f>
        <v>-0.10002817695125388</v>
      </c>
      <c r="L260" s="30">
        <f t="shared" ref="L260" si="103">+(L259-L$218)/L$218</f>
        <v>-9.9983082388766589E-2</v>
      </c>
      <c r="M260" s="30">
        <f t="shared" ref="M260" si="104">+(M259-M$218)/M$218</f>
        <v>-0.10002257846014903</v>
      </c>
      <c r="N260" s="30">
        <f t="shared" ref="N260" si="105">+(N259-N$218)/N$218</f>
        <v>-0.10059892396711002</v>
      </c>
      <c r="O260" s="30">
        <f t="shared" ref="O260" si="106">+(O259-O$218)/O$218</f>
        <v>-0.10000000000000003</v>
      </c>
      <c r="P260" s="30">
        <f t="shared" ref="P260" si="107">+(P259-P$218)/P$218</f>
        <v>-9.9990672511892642E-2</v>
      </c>
      <c r="Q260" s="30">
        <f t="shared" ref="Q260" si="108">+(Q259-Q$218)/Q$218</f>
        <v>-0.10001212268153717</v>
      </c>
      <c r="R260" s="30">
        <f t="shared" ref="R260" si="109">+(R259-R$218)/R$218</f>
        <v>-0.10067114093959723</v>
      </c>
      <c r="S260" s="30">
        <f t="shared" ref="S260" si="110">+(S259-S$218)/S$218</f>
        <v>-0.10302750478200642</v>
      </c>
      <c r="T260" s="571">
        <f t="shared" ref="T260" si="111">+(T259-T$218)/T$218</f>
        <v>-9.9917287014061218E-2</v>
      </c>
      <c r="U260" s="614">
        <f t="shared" ref="U260" si="112">+(U259-U$218)/U$218</f>
        <v>-9.9999999999999936E-2</v>
      </c>
      <c r="V260" s="590">
        <f t="shared" ref="V260" si="113">+(V259-V$218)/V$218</f>
        <v>-0.10000000000000003</v>
      </c>
    </row>
    <row r="261" spans="1:23" ht="24.9" customHeight="1" x14ac:dyDescent="0.25">
      <c r="A261" s="1192"/>
      <c r="B261" s="1188" t="s">
        <v>28</v>
      </c>
      <c r="C261" s="14" t="s">
        <v>16</v>
      </c>
      <c r="D261" s="46">
        <v>0.16399999999999995</v>
      </c>
      <c r="E261" s="46"/>
      <c r="F261" s="46">
        <v>0.109</v>
      </c>
      <c r="G261" s="46">
        <v>0.22</v>
      </c>
      <c r="H261" s="46">
        <v>0.38299999999999995</v>
      </c>
      <c r="I261" s="46">
        <v>0.16399999999999995</v>
      </c>
      <c r="J261" s="46">
        <v>1.3739999999999999</v>
      </c>
      <c r="K261" s="46">
        <v>2.3759999999999994</v>
      </c>
      <c r="L261" s="46">
        <v>6</v>
      </c>
      <c r="M261" s="46">
        <v>11.880000000000003</v>
      </c>
      <c r="N261" s="46">
        <v>30</v>
      </c>
      <c r="O261" s="46"/>
      <c r="P261" s="46">
        <v>8.58</v>
      </c>
      <c r="Q261" s="46">
        <v>20</v>
      </c>
      <c r="R261" s="46">
        <v>0.125</v>
      </c>
      <c r="S261" s="46">
        <v>43.35</v>
      </c>
      <c r="T261" s="572"/>
      <c r="U261" s="615">
        <v>6</v>
      </c>
      <c r="V261" s="591">
        <v>16.600000000000001</v>
      </c>
    </row>
    <row r="262" spans="1:23" ht="24.9" customHeight="1" x14ac:dyDescent="0.25">
      <c r="A262" s="1192"/>
      <c r="B262" s="1190"/>
      <c r="C262" s="15"/>
      <c r="D262" s="34">
        <f>+(D261-D$220)/D$220</f>
        <v>0</v>
      </c>
      <c r="E262" s="34"/>
      <c r="F262" s="34">
        <f t="shared" ref="F262" si="114">+(F261-F$220)/F$220</f>
        <v>0</v>
      </c>
      <c r="G262" s="34">
        <f t="shared" ref="G262" si="115">+(G261-G$220)/G$220</f>
        <v>0</v>
      </c>
      <c r="H262" s="34">
        <f t="shared" ref="H262" si="116">+(H261-H$220)/H$220</f>
        <v>0</v>
      </c>
      <c r="I262" s="34">
        <f t="shared" ref="I262" si="117">+(I261-I$220)/I$220</f>
        <v>0</v>
      </c>
      <c r="J262" s="34">
        <f t="shared" ref="J262" si="118">+(J261-J$220)/J$220</f>
        <v>0</v>
      </c>
      <c r="K262" s="34">
        <f t="shared" ref="K262" si="119">+(K261-K$220)/K$220</f>
        <v>0</v>
      </c>
      <c r="L262" s="34">
        <f t="shared" ref="L262" si="120">+(L261-L$220)/L$220</f>
        <v>0</v>
      </c>
      <c r="M262" s="34">
        <f t="shared" ref="M262" si="121">+(M261-M$220)/M$220</f>
        <v>0</v>
      </c>
      <c r="N262" s="34">
        <f t="shared" ref="N262" si="122">+(N261-N$220)/N$220</f>
        <v>0</v>
      </c>
      <c r="O262" s="34"/>
      <c r="P262" s="34">
        <f t="shared" ref="P262" si="123">+(P261-P$220)/P$220</f>
        <v>0</v>
      </c>
      <c r="Q262" s="34">
        <f t="shared" ref="Q262" si="124">+(Q261-Q$220)/Q$220</f>
        <v>0</v>
      </c>
      <c r="R262" s="34">
        <f t="shared" ref="R262" si="125">+(R261-R$220)/R$220</f>
        <v>0</v>
      </c>
      <c r="S262" s="34">
        <f t="shared" ref="S262" si="126">+(S261-S$220)/S$220</f>
        <v>0</v>
      </c>
      <c r="T262" s="573"/>
      <c r="U262" s="616">
        <f t="shared" ref="U262" si="127">+(U261-U$220)/U$220</f>
        <v>0</v>
      </c>
      <c r="V262" s="592">
        <f t="shared" ref="V262" si="128">+(V261-V$220)/V$220</f>
        <v>0</v>
      </c>
      <c r="W262" s="1" t="s">
        <v>216</v>
      </c>
    </row>
    <row r="263" spans="1:23" ht="24.9" customHeight="1" x14ac:dyDescent="0.25">
      <c r="A263" s="1192"/>
      <c r="B263" s="1190"/>
      <c r="C263" s="53"/>
      <c r="D263" s="53"/>
      <c r="E263" s="53"/>
      <c r="F263" s="53"/>
      <c r="G263" s="53"/>
      <c r="H263" s="53"/>
      <c r="I263" s="53"/>
      <c r="J263" s="53"/>
      <c r="K263" s="949"/>
      <c r="L263" s="949"/>
      <c r="M263" s="949"/>
      <c r="N263" s="949"/>
      <c r="O263" s="949"/>
      <c r="P263" s="949"/>
      <c r="Q263" s="949"/>
      <c r="R263" s="53"/>
      <c r="S263" s="949"/>
      <c r="T263" s="950"/>
      <c r="U263" s="951"/>
      <c r="V263" s="949"/>
    </row>
    <row r="264" spans="1:23" ht="24.9" customHeight="1" thickBot="1" x14ac:dyDescent="0.3">
      <c r="A264" s="1192"/>
      <c r="B264" s="1189"/>
      <c r="C264" s="51"/>
      <c r="D264" s="327"/>
      <c r="E264" s="327"/>
      <c r="F264" s="327"/>
      <c r="G264" s="327"/>
      <c r="H264" s="327"/>
      <c r="I264" s="327"/>
      <c r="J264" s="327"/>
      <c r="K264" s="952"/>
      <c r="L264" s="952"/>
      <c r="M264" s="952"/>
      <c r="N264" s="952"/>
      <c r="O264" s="952"/>
      <c r="P264" s="952"/>
      <c r="Q264" s="952"/>
      <c r="R264" s="327"/>
      <c r="S264" s="952"/>
      <c r="T264" s="953"/>
      <c r="U264" s="954"/>
      <c r="V264" s="955"/>
    </row>
    <row r="265" spans="1:23" ht="24.9" customHeight="1" x14ac:dyDescent="0.25">
      <c r="A265" s="1192"/>
      <c r="B265" s="1188" t="s">
        <v>29</v>
      </c>
      <c r="C265" s="15" t="s">
        <v>16</v>
      </c>
      <c r="D265" s="747">
        <v>0.15</v>
      </c>
      <c r="E265" s="747">
        <v>0.1</v>
      </c>
      <c r="F265" s="747">
        <v>0.12</v>
      </c>
      <c r="G265" s="747">
        <v>0.22</v>
      </c>
      <c r="H265" s="747">
        <v>0.35</v>
      </c>
      <c r="I265" s="747">
        <v>0.2</v>
      </c>
      <c r="J265" s="747">
        <v>1</v>
      </c>
      <c r="K265" s="748">
        <v>2.2000000000000002</v>
      </c>
      <c r="L265" s="747">
        <v>3.7</v>
      </c>
      <c r="M265" s="747">
        <v>12</v>
      </c>
      <c r="N265" s="747">
        <v>20</v>
      </c>
      <c r="O265" s="747">
        <v>4</v>
      </c>
      <c r="P265" s="747">
        <v>9</v>
      </c>
      <c r="Q265" s="747">
        <v>13.8</v>
      </c>
      <c r="R265" s="747">
        <v>0.1</v>
      </c>
      <c r="S265" s="747">
        <v>20</v>
      </c>
      <c r="T265" s="749">
        <v>2</v>
      </c>
      <c r="U265" s="772">
        <v>6</v>
      </c>
      <c r="V265" s="773">
        <v>6</v>
      </c>
    </row>
    <row r="266" spans="1:23" s="758" customFormat="1" ht="24.9" customHeight="1" thickBot="1" x14ac:dyDescent="0.3">
      <c r="A266" s="1193"/>
      <c r="B266" s="1189"/>
      <c r="C266" s="759"/>
      <c r="D266" s="760">
        <f t="shared" ref="D266:V266" si="129">+(D265-D$224)/D$224</f>
        <v>0</v>
      </c>
      <c r="E266" s="760">
        <f t="shared" si="129"/>
        <v>0</v>
      </c>
      <c r="F266" s="760">
        <f t="shared" si="129"/>
        <v>0</v>
      </c>
      <c r="G266" s="760">
        <f t="shared" si="129"/>
        <v>0</v>
      </c>
      <c r="H266" s="760">
        <f t="shared" si="129"/>
        <v>0</v>
      </c>
      <c r="I266" s="760">
        <f t="shared" si="129"/>
        <v>0</v>
      </c>
      <c r="J266" s="760">
        <f t="shared" si="129"/>
        <v>0</v>
      </c>
      <c r="K266" s="761">
        <f t="shared" si="129"/>
        <v>0</v>
      </c>
      <c r="L266" s="760">
        <f t="shared" si="129"/>
        <v>0</v>
      </c>
      <c r="M266" s="760">
        <f t="shared" si="129"/>
        <v>0</v>
      </c>
      <c r="N266" s="760">
        <f t="shared" si="129"/>
        <v>0</v>
      </c>
      <c r="O266" s="760">
        <f t="shared" si="129"/>
        <v>0.33333333333333331</v>
      </c>
      <c r="P266" s="760">
        <f t="shared" si="129"/>
        <v>0</v>
      </c>
      <c r="Q266" s="760">
        <f t="shared" si="129"/>
        <v>0</v>
      </c>
      <c r="R266" s="760">
        <f t="shared" si="129"/>
        <v>0</v>
      </c>
      <c r="S266" s="760">
        <f t="shared" si="129"/>
        <v>0</v>
      </c>
      <c r="T266" s="958">
        <f t="shared" si="129"/>
        <v>0</v>
      </c>
      <c r="U266" s="762">
        <f t="shared" si="129"/>
        <v>0.2</v>
      </c>
      <c r="V266" s="762">
        <f t="shared" si="129"/>
        <v>0.2</v>
      </c>
      <c r="W266" s="757" t="s">
        <v>216</v>
      </c>
    </row>
    <row r="267" spans="1:23" ht="24.9" customHeight="1" thickBot="1" x14ac:dyDescent="0.3">
      <c r="A267" s="751"/>
      <c r="B267" s="752"/>
      <c r="C267" s="753"/>
      <c r="D267" s="751"/>
      <c r="E267" s="751"/>
      <c r="F267" s="751"/>
      <c r="G267" s="751"/>
      <c r="H267" s="751"/>
      <c r="I267" s="751"/>
      <c r="J267" s="751"/>
      <c r="K267" s="754"/>
      <c r="L267" s="751"/>
      <c r="M267" s="751"/>
      <c r="N267" s="751"/>
      <c r="O267" s="751"/>
      <c r="P267" s="751"/>
      <c r="Q267" s="751"/>
      <c r="R267" s="751"/>
      <c r="S267" s="751"/>
      <c r="T267" s="751"/>
      <c r="U267" s="751"/>
      <c r="V267" s="751"/>
    </row>
    <row r="268" spans="1:23" ht="93" customHeight="1" x14ac:dyDescent="0.25">
      <c r="A268" s="36"/>
      <c r="B268" s="1194" t="s">
        <v>30</v>
      </c>
      <c r="C268" s="1195"/>
      <c r="D268" s="19" t="s">
        <v>0</v>
      </c>
      <c r="E268" s="19" t="s">
        <v>25</v>
      </c>
      <c r="F268" s="19" t="s">
        <v>1</v>
      </c>
      <c r="G268" s="19" t="s">
        <v>2</v>
      </c>
      <c r="H268" s="19" t="s">
        <v>13</v>
      </c>
      <c r="I268" s="19" t="s">
        <v>14</v>
      </c>
      <c r="J268" s="19" t="s">
        <v>10</v>
      </c>
      <c r="K268" s="19" t="s">
        <v>3</v>
      </c>
      <c r="L268" s="19" t="s">
        <v>4</v>
      </c>
      <c r="M268" s="19" t="s">
        <v>19</v>
      </c>
      <c r="N268" s="19" t="s">
        <v>20</v>
      </c>
      <c r="O268" s="19" t="s">
        <v>152</v>
      </c>
      <c r="P268" s="19" t="s">
        <v>5</v>
      </c>
      <c r="Q268" s="19" t="s">
        <v>6</v>
      </c>
      <c r="R268" s="19" t="s">
        <v>18</v>
      </c>
      <c r="S268" s="19" t="s">
        <v>7</v>
      </c>
      <c r="T268" s="20" t="s">
        <v>8</v>
      </c>
      <c r="U268" s="19" t="s">
        <v>199</v>
      </c>
      <c r="V268" s="580" t="s">
        <v>200</v>
      </c>
    </row>
    <row r="269" spans="1:23" ht="24.9" customHeight="1" thickBot="1" x14ac:dyDescent="0.3">
      <c r="A269" s="37"/>
      <c r="B269" s="1196"/>
      <c r="C269" s="1197"/>
      <c r="D269" s="22" t="s">
        <v>9</v>
      </c>
      <c r="E269" s="22"/>
      <c r="F269" s="22" t="s">
        <v>9</v>
      </c>
      <c r="G269" s="22" t="s">
        <v>9</v>
      </c>
      <c r="H269" s="22" t="s">
        <v>9</v>
      </c>
      <c r="I269" s="22" t="s">
        <v>9</v>
      </c>
      <c r="J269" s="22" t="s">
        <v>9</v>
      </c>
      <c r="K269" s="22" t="s">
        <v>9</v>
      </c>
      <c r="L269" s="22" t="s">
        <v>9</v>
      </c>
      <c r="M269" s="22" t="s">
        <v>11</v>
      </c>
      <c r="N269" s="22" t="s">
        <v>11</v>
      </c>
      <c r="O269" s="22" t="s">
        <v>11</v>
      </c>
      <c r="P269" s="22" t="s">
        <v>9</v>
      </c>
      <c r="Q269" s="22" t="s">
        <v>9</v>
      </c>
      <c r="R269" s="22" t="s">
        <v>21</v>
      </c>
      <c r="S269" s="22" t="s">
        <v>12</v>
      </c>
      <c r="T269" s="23" t="s">
        <v>12</v>
      </c>
      <c r="U269" s="22" t="s">
        <v>9</v>
      </c>
      <c r="V269" s="23" t="s">
        <v>9</v>
      </c>
    </row>
    <row r="270" spans="1:23" ht="24.9" customHeight="1" x14ac:dyDescent="0.25">
      <c r="A270" s="1192">
        <v>2021</v>
      </c>
      <c r="B270" s="1188" t="s">
        <v>23</v>
      </c>
      <c r="C270" s="1202" t="s">
        <v>16</v>
      </c>
      <c r="D270" s="31">
        <v>0.15</v>
      </c>
      <c r="E270" s="31"/>
      <c r="F270" s="31">
        <v>0.15</v>
      </c>
      <c r="G270" s="31">
        <v>0.18</v>
      </c>
      <c r="H270" s="31">
        <v>0.6</v>
      </c>
      <c r="I270" s="33">
        <v>0.18</v>
      </c>
      <c r="J270" s="31">
        <v>1.2</v>
      </c>
      <c r="K270" s="31">
        <v>3</v>
      </c>
      <c r="L270" s="31">
        <v>6</v>
      </c>
      <c r="M270" s="31">
        <v>15</v>
      </c>
      <c r="N270" s="31">
        <v>30</v>
      </c>
      <c r="O270" s="31"/>
      <c r="P270" s="31">
        <v>7</v>
      </c>
      <c r="Q270" s="31">
        <v>20</v>
      </c>
      <c r="R270" s="31"/>
      <c r="S270" s="31">
        <v>60</v>
      </c>
      <c r="T270" s="32">
        <v>5</v>
      </c>
      <c r="U270" s="31">
        <v>8.3000000000000007</v>
      </c>
      <c r="V270" s="581">
        <v>16.600000000000001</v>
      </c>
    </row>
    <row r="271" spans="1:23" ht="24.9" customHeight="1" x14ac:dyDescent="0.25">
      <c r="A271" s="1192"/>
      <c r="B271" s="1190"/>
      <c r="C271" s="1203"/>
      <c r="D271" s="24">
        <f>+(D270-D$209)/D$209</f>
        <v>0</v>
      </c>
      <c r="E271" s="24"/>
      <c r="F271" s="24">
        <f t="shared" ref="F271:V271" si="130">+(F270-F$209)/F$209</f>
        <v>0</v>
      </c>
      <c r="G271" s="24">
        <f t="shared" si="130"/>
        <v>0</v>
      </c>
      <c r="H271" s="24">
        <f t="shared" si="130"/>
        <v>0</v>
      </c>
      <c r="I271" s="24">
        <f t="shared" si="130"/>
        <v>0</v>
      </c>
      <c r="J271" s="24">
        <f t="shared" si="130"/>
        <v>0</v>
      </c>
      <c r="K271" s="24">
        <f t="shared" si="130"/>
        <v>0</v>
      </c>
      <c r="L271" s="24">
        <f t="shared" si="130"/>
        <v>0</v>
      </c>
      <c r="M271" s="24">
        <f t="shared" si="130"/>
        <v>0</v>
      </c>
      <c r="N271" s="24">
        <f t="shared" si="130"/>
        <v>0</v>
      </c>
      <c r="O271" s="24"/>
      <c r="P271" s="24">
        <f t="shared" si="130"/>
        <v>0</v>
      </c>
      <c r="Q271" s="24">
        <f t="shared" si="130"/>
        <v>0</v>
      </c>
      <c r="R271" s="24"/>
      <c r="S271" s="24">
        <f t="shared" si="130"/>
        <v>0</v>
      </c>
      <c r="T271" s="24">
        <f t="shared" si="130"/>
        <v>0</v>
      </c>
      <c r="U271" s="24">
        <f t="shared" si="130"/>
        <v>0</v>
      </c>
      <c r="V271" s="24">
        <f t="shared" si="130"/>
        <v>0</v>
      </c>
      <c r="W271" s="1" t="s">
        <v>216</v>
      </c>
    </row>
    <row r="272" spans="1:23" ht="24.9" customHeight="1" x14ac:dyDescent="0.25">
      <c r="A272" s="1192"/>
      <c r="B272" s="1190"/>
      <c r="C272" s="53" t="s">
        <v>17</v>
      </c>
      <c r="D272" s="9"/>
      <c r="E272" s="9"/>
      <c r="F272" s="9">
        <v>0.16</v>
      </c>
      <c r="G272" s="9">
        <v>0.27</v>
      </c>
      <c r="H272" s="9">
        <v>0.7</v>
      </c>
      <c r="I272" s="9">
        <v>0.25</v>
      </c>
      <c r="J272" s="9">
        <v>1.7</v>
      </c>
      <c r="K272" s="9">
        <v>3.6</v>
      </c>
      <c r="L272" s="9">
        <v>6</v>
      </c>
      <c r="M272" s="9">
        <v>15</v>
      </c>
      <c r="N272" s="9">
        <v>30</v>
      </c>
      <c r="O272" s="9"/>
      <c r="P272" s="9">
        <v>8</v>
      </c>
      <c r="Q272" s="9">
        <v>20</v>
      </c>
      <c r="R272" s="9">
        <f>+R270*1.16</f>
        <v>0</v>
      </c>
      <c r="S272" s="9">
        <v>60</v>
      </c>
      <c r="T272" s="10">
        <v>5</v>
      </c>
      <c r="U272" s="596">
        <v>9.1999999999999993</v>
      </c>
      <c r="V272" s="583">
        <v>16.600000000000001</v>
      </c>
    </row>
    <row r="273" spans="1:23" ht="24.9" customHeight="1" thickBot="1" x14ac:dyDescent="0.3">
      <c r="A273" s="1192"/>
      <c r="B273" s="1189"/>
      <c r="C273" s="51" t="s">
        <v>22</v>
      </c>
      <c r="D273" s="11">
        <v>0.25</v>
      </c>
      <c r="E273" s="11"/>
      <c r="F273" s="11">
        <v>0.18</v>
      </c>
      <c r="G273" s="11">
        <v>0.35</v>
      </c>
      <c r="H273" s="11">
        <v>0.7</v>
      </c>
      <c r="I273" s="11">
        <v>0.3</v>
      </c>
      <c r="J273" s="11">
        <v>2</v>
      </c>
      <c r="K273" s="11">
        <v>3.6</v>
      </c>
      <c r="L273" s="11">
        <v>6</v>
      </c>
      <c r="M273" s="11">
        <v>18</v>
      </c>
      <c r="N273" s="11">
        <v>30</v>
      </c>
      <c r="O273" s="11"/>
      <c r="P273" s="11">
        <v>11</v>
      </c>
      <c r="Q273" s="11">
        <v>20</v>
      </c>
      <c r="R273" s="11">
        <f>+R270*1.33</f>
        <v>0</v>
      </c>
      <c r="S273" s="11">
        <v>60</v>
      </c>
      <c r="T273" s="12">
        <v>5</v>
      </c>
      <c r="U273" s="606">
        <v>10</v>
      </c>
      <c r="V273" s="607">
        <v>16.600000000000001</v>
      </c>
    </row>
    <row r="274" spans="1:23" ht="24.9" customHeight="1" x14ac:dyDescent="0.25">
      <c r="A274" s="1192"/>
      <c r="B274" s="1207" t="s">
        <v>24</v>
      </c>
      <c r="C274" s="711"/>
      <c r="D274" s="97">
        <v>0.13200000000000001</v>
      </c>
      <c r="E274" s="97">
        <v>0.1</v>
      </c>
      <c r="F274" s="97">
        <v>8.2000000000000003E-2</v>
      </c>
      <c r="G274" s="97">
        <v>0.16400000000000001</v>
      </c>
      <c r="H274" s="97">
        <v>0.33</v>
      </c>
      <c r="I274" s="97"/>
      <c r="J274" s="97">
        <v>0.44</v>
      </c>
      <c r="K274" s="97">
        <v>0.77</v>
      </c>
      <c r="L274" s="97">
        <v>6</v>
      </c>
      <c r="M274" s="97">
        <v>7.4</v>
      </c>
      <c r="N274" s="97">
        <v>30</v>
      </c>
      <c r="O274" s="97">
        <v>4</v>
      </c>
      <c r="P274" s="97">
        <v>0.94</v>
      </c>
      <c r="Q274" s="97">
        <v>20</v>
      </c>
      <c r="R274" s="97"/>
      <c r="S274" s="97">
        <v>14</v>
      </c>
      <c r="T274" s="565">
        <v>1.4</v>
      </c>
      <c r="U274" s="609">
        <v>5</v>
      </c>
      <c r="V274" s="608">
        <v>5</v>
      </c>
    </row>
    <row r="275" spans="1:23" ht="24.9" customHeight="1" thickBot="1" x14ac:dyDescent="0.3">
      <c r="A275" s="1192"/>
      <c r="B275" s="1208"/>
      <c r="C275" s="712"/>
      <c r="D275" s="707">
        <f>+(D274-D$213)/D$213</f>
        <v>0</v>
      </c>
      <c r="E275" s="707">
        <f t="shared" ref="E275" si="131">+(E274-E$213)/E$213</f>
        <v>0</v>
      </c>
      <c r="F275" s="707">
        <f t="shared" ref="F275" si="132">+(F274-F$213)/F$213</f>
        <v>0</v>
      </c>
      <c r="G275" s="707">
        <f t="shared" ref="G275" si="133">+(G274-G$213)/G$213</f>
        <v>0</v>
      </c>
      <c r="H275" s="707">
        <f t="shared" ref="H275" si="134">+(H274-H$213)/H$213</f>
        <v>0</v>
      </c>
      <c r="I275" s="707"/>
      <c r="J275" s="707">
        <f t="shared" ref="J275" si="135">+(J274-J$213)/J$213</f>
        <v>0</v>
      </c>
      <c r="K275" s="707">
        <f t="shared" ref="K275" si="136">+(K274-K$213)/K$213</f>
        <v>0</v>
      </c>
      <c r="L275" s="707">
        <f t="shared" ref="L275" si="137">+(L274-L$213)/L$213</f>
        <v>0</v>
      </c>
      <c r="M275" s="707">
        <f t="shared" ref="M275" si="138">+(M274-M$213)/M$213</f>
        <v>0</v>
      </c>
      <c r="N275" s="707">
        <f t="shared" ref="N275" si="139">+(N274-N$213)/N$213</f>
        <v>0</v>
      </c>
      <c r="O275" s="707">
        <f t="shared" ref="O275" si="140">+(O274-O$213)/O$213</f>
        <v>0</v>
      </c>
      <c r="P275" s="707">
        <f t="shared" ref="P275" si="141">+(P274-P$213)/P$213</f>
        <v>0</v>
      </c>
      <c r="Q275" s="707">
        <f t="shared" ref="Q275" si="142">+(Q274-Q$213)/Q$213</f>
        <v>0</v>
      </c>
      <c r="R275" s="707"/>
      <c r="S275" s="707">
        <f t="shared" ref="S275" si="143">+(S274-S$213)/S$213</f>
        <v>0</v>
      </c>
      <c r="T275" s="707">
        <f t="shared" ref="T275" si="144">+(T274-T$213)/T$213</f>
        <v>0</v>
      </c>
      <c r="U275" s="707">
        <f t="shared" ref="U275" si="145">+(U274-U$213)/U$213</f>
        <v>0</v>
      </c>
      <c r="V275" s="707">
        <f t="shared" ref="V275" si="146">+(V274-V$213)/V$213</f>
        <v>0</v>
      </c>
      <c r="W275" s="1" t="s">
        <v>216</v>
      </c>
    </row>
    <row r="276" spans="1:23" ht="24.9" customHeight="1" x14ac:dyDescent="0.25">
      <c r="A276" s="1192"/>
      <c r="B276" s="1198" t="s">
        <v>27</v>
      </c>
      <c r="C276" s="14" t="s">
        <v>16</v>
      </c>
      <c r="D276" s="42">
        <v>0.14119999999999999</v>
      </c>
      <c r="E276" s="285">
        <v>0.1</v>
      </c>
      <c r="F276" s="42">
        <v>9.4100000000000003E-2</v>
      </c>
      <c r="G276" s="42">
        <v>0.1883</v>
      </c>
      <c r="H276" s="42">
        <v>0.32950000000000002</v>
      </c>
      <c r="I276" s="42">
        <v>0.08</v>
      </c>
      <c r="J276" s="284">
        <v>0.9415</v>
      </c>
      <c r="K276" s="285">
        <v>1.5</v>
      </c>
      <c r="L276" s="285">
        <v>5</v>
      </c>
      <c r="M276" s="285">
        <v>15</v>
      </c>
      <c r="N276" s="285">
        <v>25</v>
      </c>
      <c r="O276" s="285"/>
      <c r="P276" s="285">
        <v>3.25</v>
      </c>
      <c r="Q276" s="285">
        <v>5</v>
      </c>
      <c r="R276" s="285">
        <v>0.04</v>
      </c>
      <c r="S276" s="285">
        <v>60</v>
      </c>
      <c r="T276" s="567">
        <v>8.5</v>
      </c>
      <c r="U276" s="611">
        <v>8</v>
      </c>
      <c r="V276" s="586">
        <v>13</v>
      </c>
    </row>
    <row r="277" spans="1:23" ht="24.9" customHeight="1" x14ac:dyDescent="0.25">
      <c r="A277" s="1192"/>
      <c r="B277" s="1190"/>
      <c r="C277" s="28"/>
      <c r="D277" s="38">
        <f>+(D276-D$215)/D$215</f>
        <v>0</v>
      </c>
      <c r="E277" s="38">
        <f t="shared" ref="E277:H277" si="147">+(E276-E$215)/E$215</f>
        <v>0</v>
      </c>
      <c r="F277" s="38">
        <f t="shared" si="147"/>
        <v>0</v>
      </c>
      <c r="G277" s="38">
        <f t="shared" si="147"/>
        <v>0</v>
      </c>
      <c r="H277" s="38">
        <f t="shared" si="147"/>
        <v>0</v>
      </c>
      <c r="I277" s="866" t="s">
        <v>221</v>
      </c>
      <c r="J277" s="38">
        <f t="shared" ref="J277:N277" si="148">+(J276-J$215)/J$215</f>
        <v>0</v>
      </c>
      <c r="K277" s="38">
        <f t="shared" si="148"/>
        <v>0</v>
      </c>
      <c r="L277" s="38">
        <f t="shared" si="148"/>
        <v>0</v>
      </c>
      <c r="M277" s="38">
        <f t="shared" si="148"/>
        <v>0</v>
      </c>
      <c r="N277" s="38">
        <f t="shared" si="148"/>
        <v>0</v>
      </c>
      <c r="O277" s="38"/>
      <c r="P277" s="866" t="s">
        <v>221</v>
      </c>
      <c r="Q277" s="866" t="s">
        <v>221</v>
      </c>
      <c r="R277" s="866" t="s">
        <v>221</v>
      </c>
      <c r="S277" s="38">
        <f t="shared" ref="S277:V277" si="149">+(S276-S$215)/S$215</f>
        <v>0</v>
      </c>
      <c r="T277" s="38">
        <f t="shared" si="149"/>
        <v>0</v>
      </c>
      <c r="U277" s="38">
        <f t="shared" si="149"/>
        <v>0</v>
      </c>
      <c r="V277" s="38">
        <f t="shared" si="149"/>
        <v>0</v>
      </c>
      <c r="W277" s="1" t="s">
        <v>216</v>
      </c>
    </row>
    <row r="278" spans="1:23" ht="24.9" customHeight="1" thickBot="1" x14ac:dyDescent="0.3">
      <c r="A278" s="1192"/>
      <c r="B278" s="1201"/>
      <c r="C278" s="51" t="s">
        <v>17</v>
      </c>
      <c r="D278" s="859">
        <v>0.18360000000000001</v>
      </c>
      <c r="E278" s="860">
        <v>0.1</v>
      </c>
      <c r="F278" s="859">
        <v>0.12239999999999999</v>
      </c>
      <c r="G278" s="859">
        <v>0.24479999999999999</v>
      </c>
      <c r="H278" s="859">
        <v>0.4284</v>
      </c>
      <c r="I278" s="861">
        <v>0.08</v>
      </c>
      <c r="J278" s="859">
        <v>0.1239</v>
      </c>
      <c r="K278" s="862">
        <f>+K276</f>
        <v>1.5</v>
      </c>
      <c r="L278" s="860">
        <f>+L276</f>
        <v>5</v>
      </c>
      <c r="M278" s="860">
        <f>+M276</f>
        <v>15</v>
      </c>
      <c r="N278" s="860">
        <f>+N276</f>
        <v>25</v>
      </c>
      <c r="O278" s="860"/>
      <c r="P278" s="860">
        <v>3.25</v>
      </c>
      <c r="Q278" s="860">
        <v>5</v>
      </c>
      <c r="R278" s="860">
        <v>0.04</v>
      </c>
      <c r="S278" s="860">
        <f>+S276</f>
        <v>60</v>
      </c>
      <c r="T278" s="863">
        <f>+T276</f>
        <v>8.5</v>
      </c>
      <c r="U278" s="864">
        <v>8</v>
      </c>
      <c r="V278" s="865">
        <v>13</v>
      </c>
    </row>
    <row r="279" spans="1:23" ht="24.9" customHeight="1" x14ac:dyDescent="0.25">
      <c r="A279" s="1192"/>
      <c r="B279" s="1188" t="s">
        <v>26</v>
      </c>
      <c r="C279" s="711"/>
      <c r="D279" s="92">
        <v>0.192</v>
      </c>
      <c r="E279" s="92">
        <v>6.4000000000000001E-2</v>
      </c>
      <c r="F279" s="92">
        <v>0.128</v>
      </c>
      <c r="G279" s="92">
        <v>0.25700000000000001</v>
      </c>
      <c r="H279" s="92">
        <v>0.45</v>
      </c>
      <c r="I279" s="92">
        <v>0.1</v>
      </c>
      <c r="J279" s="92">
        <v>1.2809999999999999</v>
      </c>
      <c r="K279" s="92">
        <v>3.194</v>
      </c>
      <c r="L279" s="92">
        <v>5.32</v>
      </c>
      <c r="M279" s="92">
        <v>15.944000000000001</v>
      </c>
      <c r="N279" s="92">
        <v>26.58</v>
      </c>
      <c r="O279" s="92">
        <v>3.51</v>
      </c>
      <c r="P279" s="92">
        <v>9.6489999999999991</v>
      </c>
      <c r="Q279" s="92">
        <v>14.848000000000001</v>
      </c>
      <c r="R279" s="92">
        <v>0.13400000000000001</v>
      </c>
      <c r="S279" s="92">
        <v>54.396000000000001</v>
      </c>
      <c r="T279" s="570">
        <v>5.4409999999999998</v>
      </c>
      <c r="U279" s="613">
        <v>5.4</v>
      </c>
      <c r="V279" s="589">
        <v>8.9640000000000004</v>
      </c>
    </row>
    <row r="280" spans="1:23" s="781" customFormat="1" ht="24.9" customHeight="1" thickBot="1" x14ac:dyDescent="0.3">
      <c r="A280" s="1192"/>
      <c r="B280" s="1189"/>
      <c r="C280" s="96"/>
      <c r="D280" s="30">
        <f>+(D279-D$218)/D$218</f>
        <v>-9.8591549295774614E-2</v>
      </c>
      <c r="E280" s="30">
        <f t="shared" ref="E280" si="150">+(E279-E$218)/E$218</f>
        <v>-9.8591549295774544E-2</v>
      </c>
      <c r="F280" s="30">
        <f t="shared" ref="F280" si="151">+(F279-F$218)/F$218</f>
        <v>-9.8591549295774544E-2</v>
      </c>
      <c r="G280" s="30">
        <f t="shared" ref="G280" si="152">+(G279-G$218)/G$218</f>
        <v>-9.8245614035087622E-2</v>
      </c>
      <c r="H280" s="30">
        <f t="shared" ref="H280" si="153">+(H279-H$218)/H$218</f>
        <v>-9.9999999999999978E-2</v>
      </c>
      <c r="I280" s="882" t="s">
        <v>221</v>
      </c>
      <c r="J280" s="30">
        <f t="shared" ref="J280" si="154">+(J279-J$218)/J$218</f>
        <v>-9.9789177793394329E-2</v>
      </c>
      <c r="K280" s="30">
        <f t="shared" ref="K280" si="155">+(K279-K$218)/K$218</f>
        <v>-0.10002817695125388</v>
      </c>
      <c r="L280" s="30">
        <f t="shared" ref="L280" si="156">+(L279-L$218)/L$218</f>
        <v>-9.9983082388766589E-2</v>
      </c>
      <c r="M280" s="30">
        <f t="shared" ref="M280" si="157">+(M279-M$218)/M$218</f>
        <v>-0.10002257846014903</v>
      </c>
      <c r="N280" s="30">
        <f t="shared" ref="N280" si="158">+(N279-N$218)/N$218</f>
        <v>-0.10059892396711002</v>
      </c>
      <c r="O280" s="30">
        <f t="shared" ref="O280" si="159">+(O279-O$218)/O$218</f>
        <v>-0.10000000000000003</v>
      </c>
      <c r="P280" s="30">
        <f t="shared" ref="P280" si="160">+(P279-P$218)/P$218</f>
        <v>-9.9990672511892642E-2</v>
      </c>
      <c r="Q280" s="30">
        <f t="shared" ref="Q280" si="161">+(Q279-Q$218)/Q$218</f>
        <v>-0.10001212268153717</v>
      </c>
      <c r="R280" s="30">
        <f t="shared" ref="R280" si="162">+(R279-R$218)/R$218</f>
        <v>-0.10067114093959723</v>
      </c>
      <c r="S280" s="30">
        <f t="shared" ref="S280" si="163">+(S279-S$218)/S$218</f>
        <v>-0.10302750478200642</v>
      </c>
      <c r="T280" s="571">
        <f t="shared" ref="T280" si="164">+(T279-T$218)/T$218</f>
        <v>-9.9917287014061218E-2</v>
      </c>
      <c r="U280" s="614">
        <f t="shared" ref="U280" si="165">+(U279-U$218)/U$218</f>
        <v>-9.9999999999999936E-2</v>
      </c>
      <c r="V280" s="590">
        <f t="shared" ref="V280" si="166">+(V279-V$218)/V$218</f>
        <v>-0.10000000000000003</v>
      </c>
    </row>
    <row r="281" spans="1:23" ht="24.9" customHeight="1" x14ac:dyDescent="0.25">
      <c r="A281" s="1192"/>
      <c r="B281" s="1188" t="s">
        <v>28</v>
      </c>
      <c r="C281" s="14" t="s">
        <v>16</v>
      </c>
      <c r="D281" s="46">
        <v>0.16399999999999995</v>
      </c>
      <c r="E281" s="46"/>
      <c r="F281" s="46">
        <v>0.109</v>
      </c>
      <c r="G281" s="46">
        <v>0.22</v>
      </c>
      <c r="H281" s="46">
        <v>0.38299999999999995</v>
      </c>
      <c r="I281" s="46">
        <v>0.16399999999999995</v>
      </c>
      <c r="J281" s="46">
        <v>1.3739999999999999</v>
      </c>
      <c r="K281" s="46">
        <v>2.3759999999999994</v>
      </c>
      <c r="L281" s="46">
        <v>6</v>
      </c>
      <c r="M281" s="46">
        <v>11.880000000000003</v>
      </c>
      <c r="N281" s="46">
        <v>30</v>
      </c>
      <c r="O281" s="46"/>
      <c r="P281" s="46">
        <v>8.58</v>
      </c>
      <c r="Q281" s="46">
        <v>20</v>
      </c>
      <c r="R281" s="46">
        <v>0.125</v>
      </c>
      <c r="S281" s="46">
        <v>43.35</v>
      </c>
      <c r="T281" s="572"/>
      <c r="U281" s="615">
        <v>6</v>
      </c>
      <c r="V281" s="591">
        <v>16.600000000000001</v>
      </c>
    </row>
    <row r="282" spans="1:23" ht="24.9" customHeight="1" x14ac:dyDescent="0.25">
      <c r="A282" s="1192"/>
      <c r="B282" s="1190"/>
      <c r="C282" s="15"/>
      <c r="D282" s="34">
        <f>+(D281-D$220)/D$220</f>
        <v>0</v>
      </c>
      <c r="E282" s="34"/>
      <c r="F282" s="34">
        <f t="shared" ref="F282" si="167">+(F281-F$220)/F$220</f>
        <v>0</v>
      </c>
      <c r="G282" s="34">
        <f t="shared" ref="G282" si="168">+(G281-G$220)/G$220</f>
        <v>0</v>
      </c>
      <c r="H282" s="34">
        <f t="shared" ref="H282" si="169">+(H281-H$220)/H$220</f>
        <v>0</v>
      </c>
      <c r="I282" s="34">
        <f t="shared" ref="I282" si="170">+(I281-I$220)/I$220</f>
        <v>0</v>
      </c>
      <c r="J282" s="34">
        <f t="shared" ref="J282" si="171">+(J281-J$220)/J$220</f>
        <v>0</v>
      </c>
      <c r="K282" s="34">
        <f t="shared" ref="K282" si="172">+(K281-K$220)/K$220</f>
        <v>0</v>
      </c>
      <c r="L282" s="34">
        <f t="shared" ref="L282" si="173">+(L281-L$220)/L$220</f>
        <v>0</v>
      </c>
      <c r="M282" s="34">
        <f t="shared" ref="M282" si="174">+(M281-M$220)/M$220</f>
        <v>0</v>
      </c>
      <c r="N282" s="34">
        <f t="shared" ref="N282" si="175">+(N281-N$220)/N$220</f>
        <v>0</v>
      </c>
      <c r="O282" s="34"/>
      <c r="P282" s="34">
        <f t="shared" ref="P282" si="176">+(P281-P$220)/P$220</f>
        <v>0</v>
      </c>
      <c r="Q282" s="34">
        <f t="shared" ref="Q282" si="177">+(Q281-Q$220)/Q$220</f>
        <v>0</v>
      </c>
      <c r="R282" s="34">
        <f t="shared" ref="R282" si="178">+(R281-R$220)/R$220</f>
        <v>0</v>
      </c>
      <c r="S282" s="34">
        <f t="shared" ref="S282" si="179">+(S281-S$220)/S$220</f>
        <v>0</v>
      </c>
      <c r="T282" s="573"/>
      <c r="U282" s="616">
        <f t="shared" ref="U282" si="180">+(U281-U$220)/U$220</f>
        <v>0</v>
      </c>
      <c r="V282" s="592">
        <f t="shared" ref="V282" si="181">+(V281-V$220)/V$220</f>
        <v>0</v>
      </c>
      <c r="W282" s="1" t="s">
        <v>216</v>
      </c>
    </row>
    <row r="283" spans="1:23" ht="24.9" customHeight="1" x14ac:dyDescent="0.25">
      <c r="A283" s="1192"/>
      <c r="B283" s="1190"/>
      <c r="C283" s="53"/>
      <c r="D283" s="53"/>
      <c r="E283" s="53"/>
      <c r="F283" s="53"/>
      <c r="G283" s="53"/>
      <c r="H283" s="53"/>
      <c r="I283" s="53"/>
      <c r="J283" s="53"/>
      <c r="K283" s="949"/>
      <c r="L283" s="949"/>
      <c r="M283" s="949"/>
      <c r="N283" s="949"/>
      <c r="O283" s="949"/>
      <c r="P283" s="949"/>
      <c r="Q283" s="949"/>
      <c r="R283" s="53"/>
      <c r="S283" s="949"/>
      <c r="T283" s="950"/>
      <c r="U283" s="951"/>
      <c r="V283" s="949"/>
    </row>
    <row r="284" spans="1:23" ht="24.9" customHeight="1" thickBot="1" x14ac:dyDescent="0.3">
      <c r="A284" s="1192"/>
      <c r="B284" s="1189"/>
      <c r="C284" s="327"/>
      <c r="D284" s="327"/>
      <c r="E284" s="327"/>
      <c r="F284" s="327"/>
      <c r="G284" s="327"/>
      <c r="H284" s="327"/>
      <c r="I284" s="327"/>
      <c r="J284" s="327"/>
      <c r="K284" s="952"/>
      <c r="L284" s="952"/>
      <c r="M284" s="952"/>
      <c r="N284" s="952"/>
      <c r="O284" s="952"/>
      <c r="P284" s="952"/>
      <c r="Q284" s="952"/>
      <c r="R284" s="327"/>
      <c r="S284" s="952"/>
      <c r="T284" s="953"/>
      <c r="U284" s="954"/>
      <c r="V284" s="955"/>
    </row>
    <row r="285" spans="1:23" ht="24.9" customHeight="1" x14ac:dyDescent="0.25">
      <c r="A285" s="1205"/>
      <c r="B285" s="1188" t="s">
        <v>29</v>
      </c>
      <c r="C285" s="14" t="s">
        <v>16</v>
      </c>
      <c r="D285" s="747">
        <v>0.15</v>
      </c>
      <c r="E285" s="747">
        <v>0.1</v>
      </c>
      <c r="F285" s="747">
        <v>0.12</v>
      </c>
      <c r="G285" s="747">
        <v>0.22</v>
      </c>
      <c r="H285" s="747">
        <v>0.35</v>
      </c>
      <c r="I285" s="747">
        <v>0.2</v>
      </c>
      <c r="J285" s="747">
        <v>1</v>
      </c>
      <c r="K285" s="748">
        <v>2.2000000000000002</v>
      </c>
      <c r="L285" s="747">
        <v>3.7</v>
      </c>
      <c r="M285" s="747">
        <v>12</v>
      </c>
      <c r="N285" s="747">
        <v>20</v>
      </c>
      <c r="O285" s="747">
        <v>4</v>
      </c>
      <c r="P285" s="747">
        <v>9</v>
      </c>
      <c r="Q285" s="747">
        <v>13.8</v>
      </c>
      <c r="R285" s="747">
        <v>0.1</v>
      </c>
      <c r="S285" s="747">
        <v>20</v>
      </c>
      <c r="T285" s="747">
        <v>2</v>
      </c>
      <c r="U285" s="747">
        <v>6</v>
      </c>
      <c r="V285" s="763">
        <v>6</v>
      </c>
    </row>
    <row r="286" spans="1:23" s="758" customFormat="1" ht="24.9" customHeight="1" thickBot="1" x14ac:dyDescent="0.3">
      <c r="A286" s="755"/>
      <c r="B286" s="1189"/>
      <c r="C286" s="764"/>
      <c r="D286" s="765">
        <f t="shared" ref="D286" si="182">+(D285-D$224)/D$224</f>
        <v>0</v>
      </c>
      <c r="E286" s="765">
        <f t="shared" ref="E286" si="183">+(E285-E$224)/E$224</f>
        <v>0</v>
      </c>
      <c r="F286" s="765">
        <f t="shared" ref="F286" si="184">+(F285-F$224)/F$224</f>
        <v>0</v>
      </c>
      <c r="G286" s="765">
        <f t="shared" ref="G286" si="185">+(G285-G$224)/G$224</f>
        <v>0</v>
      </c>
      <c r="H286" s="765">
        <f t="shared" ref="H286" si="186">+(H285-H$224)/H$224</f>
        <v>0</v>
      </c>
      <c r="I286" s="765">
        <f t="shared" ref="I286" si="187">+(I285-I$224)/I$224</f>
        <v>0</v>
      </c>
      <c r="J286" s="765">
        <f t="shared" ref="J286" si="188">+(J285-J$224)/J$224</f>
        <v>0</v>
      </c>
      <c r="K286" s="765">
        <f t="shared" ref="K286" si="189">+(K285-K$224)/K$224</f>
        <v>0</v>
      </c>
      <c r="L286" s="765">
        <f t="shared" ref="L286" si="190">+(L285-L$224)/L$224</f>
        <v>0</v>
      </c>
      <c r="M286" s="765">
        <f t="shared" ref="M286" si="191">+(M285-M$224)/M$224</f>
        <v>0</v>
      </c>
      <c r="N286" s="765">
        <f t="shared" ref="N286" si="192">+(N285-N$224)/N$224</f>
        <v>0</v>
      </c>
      <c r="O286" s="750">
        <f t="shared" ref="O286" si="193">+(O285-O$224)/O$224</f>
        <v>0.33333333333333331</v>
      </c>
      <c r="P286" s="765">
        <f t="shared" ref="P286" si="194">+(P285-P$224)/P$224</f>
        <v>0</v>
      </c>
      <c r="Q286" s="765">
        <f t="shared" ref="Q286" si="195">+(Q285-Q$224)/Q$224</f>
        <v>0</v>
      </c>
      <c r="R286" s="765">
        <f t="shared" ref="R286" si="196">+(R285-R$224)/R$224</f>
        <v>0</v>
      </c>
      <c r="S286" s="765">
        <f t="shared" ref="S286" si="197">+(S285-S$224)/S$224</f>
        <v>0</v>
      </c>
      <c r="T286" s="765">
        <f t="shared" ref="T286" si="198">+(T285-T$224)/T$224</f>
        <v>0</v>
      </c>
      <c r="U286" s="750">
        <f t="shared" ref="U286" si="199">+(U285-U$224)/U$224</f>
        <v>0.2</v>
      </c>
      <c r="V286" s="767">
        <f t="shared" ref="V286" si="200">+(V285-V$224)/V$224</f>
        <v>0.2</v>
      </c>
      <c r="W286" s="758" t="s">
        <v>216</v>
      </c>
    </row>
    <row r="287" spans="1:23" ht="24.9" customHeight="1" thickBot="1" x14ac:dyDescent="0.3"/>
    <row r="288" spans="1:23" ht="93" customHeight="1" x14ac:dyDescent="0.25">
      <c r="A288" s="36"/>
      <c r="B288" s="1194" t="s">
        <v>30</v>
      </c>
      <c r="C288" s="1195"/>
      <c r="D288" s="19" t="s">
        <v>0</v>
      </c>
      <c r="E288" s="19" t="s">
        <v>25</v>
      </c>
      <c r="F288" s="19" t="s">
        <v>1</v>
      </c>
      <c r="G288" s="19" t="s">
        <v>2</v>
      </c>
      <c r="H288" s="19" t="s">
        <v>13</v>
      </c>
      <c r="I288" s="19" t="s">
        <v>14</v>
      </c>
      <c r="J288" s="19" t="s">
        <v>10</v>
      </c>
      <c r="K288" s="19" t="s">
        <v>3</v>
      </c>
      <c r="L288" s="19" t="s">
        <v>4</v>
      </c>
      <c r="M288" s="19" t="s">
        <v>19</v>
      </c>
      <c r="N288" s="19" t="s">
        <v>20</v>
      </c>
      <c r="O288" s="19" t="s">
        <v>152</v>
      </c>
      <c r="P288" s="19" t="s">
        <v>5</v>
      </c>
      <c r="Q288" s="19" t="s">
        <v>6</v>
      </c>
      <c r="R288" s="19" t="s">
        <v>18</v>
      </c>
      <c r="S288" s="19" t="s">
        <v>7</v>
      </c>
      <c r="T288" s="20" t="s">
        <v>8</v>
      </c>
      <c r="U288" s="19" t="s">
        <v>199</v>
      </c>
      <c r="V288" s="580" t="s">
        <v>200</v>
      </c>
    </row>
    <row r="289" spans="1:23" ht="24.9" customHeight="1" thickBot="1" x14ac:dyDescent="0.3">
      <c r="A289" s="37"/>
      <c r="B289" s="1196"/>
      <c r="C289" s="1197"/>
      <c r="D289" s="22" t="s">
        <v>9</v>
      </c>
      <c r="E289" s="22"/>
      <c r="F289" s="22" t="s">
        <v>9</v>
      </c>
      <c r="G289" s="22" t="s">
        <v>9</v>
      </c>
      <c r="H289" s="22" t="s">
        <v>9</v>
      </c>
      <c r="I289" s="22" t="s">
        <v>9</v>
      </c>
      <c r="J289" s="22" t="s">
        <v>9</v>
      </c>
      <c r="K289" s="22" t="s">
        <v>9</v>
      </c>
      <c r="L289" s="22" t="s">
        <v>9</v>
      </c>
      <c r="M289" s="22" t="s">
        <v>11</v>
      </c>
      <c r="N289" s="22" t="s">
        <v>11</v>
      </c>
      <c r="O289" s="22" t="s">
        <v>11</v>
      </c>
      <c r="P289" s="22" t="s">
        <v>9</v>
      </c>
      <c r="Q289" s="22" t="s">
        <v>9</v>
      </c>
      <c r="R289" s="22" t="s">
        <v>21</v>
      </c>
      <c r="S289" s="22" t="s">
        <v>12</v>
      </c>
      <c r="T289" s="23" t="s">
        <v>12</v>
      </c>
      <c r="U289" s="22" t="s">
        <v>9</v>
      </c>
      <c r="V289" s="23" t="s">
        <v>9</v>
      </c>
    </row>
    <row r="290" spans="1:23" ht="24.9" customHeight="1" x14ac:dyDescent="0.25">
      <c r="A290" s="1192">
        <v>2022</v>
      </c>
      <c r="B290" s="1188" t="s">
        <v>23</v>
      </c>
      <c r="C290" s="1202" t="s">
        <v>16</v>
      </c>
      <c r="D290" s="31">
        <v>0.15</v>
      </c>
      <c r="E290" s="31"/>
      <c r="F290" s="31">
        <v>0.15</v>
      </c>
      <c r="G290" s="31">
        <v>0.18</v>
      </c>
      <c r="H290" s="31">
        <v>0.6</v>
      </c>
      <c r="I290" s="33">
        <v>0.18</v>
      </c>
      <c r="J290" s="31">
        <v>1.2</v>
      </c>
      <c r="K290" s="31">
        <v>3</v>
      </c>
      <c r="L290" s="31">
        <v>6</v>
      </c>
      <c r="M290" s="31">
        <v>15</v>
      </c>
      <c r="N290" s="31">
        <v>30</v>
      </c>
      <c r="O290" s="31"/>
      <c r="P290" s="31">
        <v>7</v>
      </c>
      <c r="Q290" s="31">
        <v>20</v>
      </c>
      <c r="R290" s="31"/>
      <c r="S290" s="31">
        <v>60</v>
      </c>
      <c r="T290" s="32">
        <v>5</v>
      </c>
      <c r="U290" s="31">
        <v>8.3000000000000007</v>
      </c>
      <c r="V290" s="581">
        <v>16.600000000000001</v>
      </c>
    </row>
    <row r="291" spans="1:23" ht="24.9" customHeight="1" x14ac:dyDescent="0.25">
      <c r="A291" s="1192"/>
      <c r="B291" s="1190"/>
      <c r="C291" s="1203"/>
      <c r="D291" s="24">
        <f t="shared" ref="D291:V291" si="201">+(D290-D$209)/D$209</f>
        <v>0</v>
      </c>
      <c r="E291" s="24"/>
      <c r="F291" s="24">
        <f t="shared" si="201"/>
        <v>0</v>
      </c>
      <c r="G291" s="24">
        <f t="shared" si="201"/>
        <v>0</v>
      </c>
      <c r="H291" s="24">
        <f t="shared" si="201"/>
        <v>0</v>
      </c>
      <c r="I291" s="24">
        <f t="shared" si="201"/>
        <v>0</v>
      </c>
      <c r="J291" s="24">
        <f t="shared" si="201"/>
        <v>0</v>
      </c>
      <c r="K291" s="24">
        <f t="shared" si="201"/>
        <v>0</v>
      </c>
      <c r="L291" s="24">
        <f t="shared" si="201"/>
        <v>0</v>
      </c>
      <c r="M291" s="24">
        <f t="shared" si="201"/>
        <v>0</v>
      </c>
      <c r="N291" s="24">
        <f t="shared" si="201"/>
        <v>0</v>
      </c>
      <c r="O291" s="24"/>
      <c r="P291" s="24">
        <f t="shared" si="201"/>
        <v>0</v>
      </c>
      <c r="Q291" s="24">
        <f t="shared" si="201"/>
        <v>0</v>
      </c>
      <c r="R291" s="24"/>
      <c r="S291" s="24">
        <f t="shared" si="201"/>
        <v>0</v>
      </c>
      <c r="T291" s="24">
        <f t="shared" si="201"/>
        <v>0</v>
      </c>
      <c r="U291" s="24">
        <f t="shared" si="201"/>
        <v>0</v>
      </c>
      <c r="V291" s="582">
        <f t="shared" si="201"/>
        <v>0</v>
      </c>
      <c r="W291" s="1" t="s">
        <v>216</v>
      </c>
    </row>
    <row r="292" spans="1:23" ht="24.9" customHeight="1" x14ac:dyDescent="0.25">
      <c r="A292" s="1192"/>
      <c r="B292" s="1190"/>
      <c r="C292" s="53" t="s">
        <v>17</v>
      </c>
      <c r="D292" s="9"/>
      <c r="E292" s="9"/>
      <c r="F292" s="9">
        <v>0.16</v>
      </c>
      <c r="G292" s="9">
        <v>0.27</v>
      </c>
      <c r="H292" s="9">
        <v>0.7</v>
      </c>
      <c r="I292" s="9">
        <v>0.25</v>
      </c>
      <c r="J292" s="9">
        <v>1.7</v>
      </c>
      <c r="K292" s="9">
        <v>3.6</v>
      </c>
      <c r="L292" s="9">
        <v>6</v>
      </c>
      <c r="M292" s="9">
        <v>15</v>
      </c>
      <c r="N292" s="9">
        <v>30</v>
      </c>
      <c r="O292" s="9"/>
      <c r="P292" s="9">
        <v>8</v>
      </c>
      <c r="Q292" s="9">
        <v>20</v>
      </c>
      <c r="R292" s="9">
        <f>+R290*1.16</f>
        <v>0</v>
      </c>
      <c r="S292" s="9">
        <v>60</v>
      </c>
      <c r="T292" s="10">
        <v>5</v>
      </c>
      <c r="U292" s="596">
        <v>9.1999999999999993</v>
      </c>
      <c r="V292" s="583">
        <v>16.600000000000001</v>
      </c>
    </row>
    <row r="293" spans="1:23" ht="24.9" customHeight="1" thickBot="1" x14ac:dyDescent="0.3">
      <c r="A293" s="1192"/>
      <c r="B293" s="1189"/>
      <c r="C293" s="51" t="s">
        <v>22</v>
      </c>
      <c r="D293" s="11">
        <v>0.25</v>
      </c>
      <c r="E293" s="11"/>
      <c r="F293" s="11">
        <v>0.18</v>
      </c>
      <c r="G293" s="11">
        <v>0.35</v>
      </c>
      <c r="H293" s="11">
        <v>0.7</v>
      </c>
      <c r="I293" s="11">
        <v>0.3</v>
      </c>
      <c r="J293" s="11">
        <v>2</v>
      </c>
      <c r="K293" s="11">
        <v>3.6</v>
      </c>
      <c r="L293" s="11">
        <v>6</v>
      </c>
      <c r="M293" s="11">
        <v>18</v>
      </c>
      <c r="N293" s="11">
        <v>30</v>
      </c>
      <c r="O293" s="11"/>
      <c r="P293" s="11">
        <v>11</v>
      </c>
      <c r="Q293" s="11">
        <v>20</v>
      </c>
      <c r="R293" s="11">
        <f>+R290*1.33</f>
        <v>0</v>
      </c>
      <c r="S293" s="11">
        <v>60</v>
      </c>
      <c r="T293" s="12">
        <v>5</v>
      </c>
      <c r="U293" s="606">
        <v>10</v>
      </c>
      <c r="V293" s="607">
        <v>16.600000000000001</v>
      </c>
    </row>
    <row r="294" spans="1:23" ht="24.9" customHeight="1" x14ac:dyDescent="0.25">
      <c r="A294" s="1192"/>
      <c r="B294" s="1188" t="s">
        <v>24</v>
      </c>
      <c r="C294" s="711"/>
      <c r="D294" s="97">
        <v>0.13200000000000001</v>
      </c>
      <c r="E294" s="97">
        <v>0.1</v>
      </c>
      <c r="F294" s="97">
        <v>8.2000000000000003E-2</v>
      </c>
      <c r="G294" s="97">
        <v>0.16400000000000001</v>
      </c>
      <c r="H294" s="97">
        <v>0.33</v>
      </c>
      <c r="I294" s="97"/>
      <c r="J294" s="97">
        <v>0.44</v>
      </c>
      <c r="K294" s="97">
        <v>0.77</v>
      </c>
      <c r="L294" s="97">
        <v>6</v>
      </c>
      <c r="M294" s="97">
        <v>7.4</v>
      </c>
      <c r="N294" s="97">
        <v>30</v>
      </c>
      <c r="O294" s="97">
        <v>4</v>
      </c>
      <c r="P294" s="97">
        <v>0.94</v>
      </c>
      <c r="Q294" s="97">
        <v>20</v>
      </c>
      <c r="R294" s="97"/>
      <c r="S294" s="97">
        <v>14</v>
      </c>
      <c r="T294" s="565">
        <v>1.4</v>
      </c>
      <c r="U294" s="609">
        <v>5</v>
      </c>
      <c r="V294" s="608">
        <v>5</v>
      </c>
    </row>
    <row r="295" spans="1:23" ht="24.9" customHeight="1" thickBot="1" x14ac:dyDescent="0.3">
      <c r="A295" s="1192"/>
      <c r="B295" s="1189"/>
      <c r="C295" s="712"/>
      <c r="D295" s="707">
        <f>+(D294-D$213)/D$213</f>
        <v>0</v>
      </c>
      <c r="E295" s="707">
        <f t="shared" ref="E295" si="202">+(E294-E$213)/E$213</f>
        <v>0</v>
      </c>
      <c r="F295" s="707">
        <f t="shared" ref="F295" si="203">+(F294-F$213)/F$213</f>
        <v>0</v>
      </c>
      <c r="G295" s="707">
        <f t="shared" ref="G295" si="204">+(G294-G$213)/G$213</f>
        <v>0</v>
      </c>
      <c r="H295" s="707">
        <f t="shared" ref="H295" si="205">+(H294-H$213)/H$213</f>
        <v>0</v>
      </c>
      <c r="I295" s="707"/>
      <c r="J295" s="707">
        <f t="shared" ref="J295" si="206">+(J294-J$213)/J$213</f>
        <v>0</v>
      </c>
      <c r="K295" s="707">
        <f t="shared" ref="K295" si="207">+(K294-K$213)/K$213</f>
        <v>0</v>
      </c>
      <c r="L295" s="707">
        <f t="shared" ref="L295" si="208">+(L294-L$213)/L$213</f>
        <v>0</v>
      </c>
      <c r="M295" s="707">
        <f t="shared" ref="M295" si="209">+(M294-M$213)/M$213</f>
        <v>0</v>
      </c>
      <c r="N295" s="707">
        <f t="shared" ref="N295" si="210">+(N294-N$213)/N$213</f>
        <v>0</v>
      </c>
      <c r="O295" s="707">
        <f t="shared" ref="O295" si="211">+(O294-O$213)/O$213</f>
        <v>0</v>
      </c>
      <c r="P295" s="707">
        <f t="shared" ref="P295" si="212">+(P294-P$213)/P$213</f>
        <v>0</v>
      </c>
      <c r="Q295" s="707">
        <f t="shared" ref="Q295" si="213">+(Q294-Q$213)/Q$213</f>
        <v>0</v>
      </c>
      <c r="R295" s="707"/>
      <c r="S295" s="707">
        <f t="shared" ref="S295" si="214">+(S294-S$213)/S$213</f>
        <v>0</v>
      </c>
      <c r="T295" s="707">
        <f t="shared" ref="T295" si="215">+(T294-T$213)/T$213</f>
        <v>0</v>
      </c>
      <c r="U295" s="707">
        <f t="shared" ref="U295" si="216">+(U294-U$213)/U$213</f>
        <v>0</v>
      </c>
      <c r="V295" s="707">
        <f t="shared" ref="V295" si="217">+(V294-V$213)/V$213</f>
        <v>0</v>
      </c>
      <c r="W295" s="1" t="s">
        <v>216</v>
      </c>
    </row>
    <row r="296" spans="1:23" ht="24.9" customHeight="1" x14ac:dyDescent="0.25">
      <c r="A296" s="1192"/>
      <c r="B296" s="1198" t="s">
        <v>27</v>
      </c>
      <c r="C296" s="14" t="s">
        <v>16</v>
      </c>
      <c r="D296" s="42">
        <v>0.14119999999999999</v>
      </c>
      <c r="E296" s="285">
        <v>0.1</v>
      </c>
      <c r="F296" s="42">
        <v>9.4100000000000003E-2</v>
      </c>
      <c r="G296" s="42">
        <v>0.1883</v>
      </c>
      <c r="H296" s="42">
        <v>0.32950000000000002</v>
      </c>
      <c r="I296" s="42" t="s">
        <v>241</v>
      </c>
      <c r="J296" s="284">
        <v>0.9415</v>
      </c>
      <c r="K296" s="285">
        <v>1.5</v>
      </c>
      <c r="L296" s="285">
        <v>5</v>
      </c>
      <c r="M296" s="285">
        <v>15</v>
      </c>
      <c r="N296" s="285">
        <v>25</v>
      </c>
      <c r="O296" s="285"/>
      <c r="P296" s="285">
        <v>3.25</v>
      </c>
      <c r="Q296" s="285">
        <v>5</v>
      </c>
      <c r="R296" s="285" t="s">
        <v>239</v>
      </c>
      <c r="S296" s="285">
        <v>60</v>
      </c>
      <c r="T296" s="567">
        <v>8.5</v>
      </c>
      <c r="U296" s="611">
        <v>8</v>
      </c>
      <c r="V296" s="586">
        <v>13</v>
      </c>
    </row>
    <row r="297" spans="1:23" ht="24.9" customHeight="1" x14ac:dyDescent="0.25">
      <c r="A297" s="1192"/>
      <c r="B297" s="1190"/>
      <c r="C297" s="28"/>
      <c r="D297" s="38">
        <f>+(D296-D$215)/D$215</f>
        <v>0</v>
      </c>
      <c r="E297" s="38">
        <f t="shared" ref="E297:H297" si="218">+(E296-E$215)/E$215</f>
        <v>0</v>
      </c>
      <c r="F297" s="38">
        <f t="shared" si="218"/>
        <v>0</v>
      </c>
      <c r="G297" s="38">
        <f t="shared" si="218"/>
        <v>0</v>
      </c>
      <c r="H297" s="38">
        <f t="shared" si="218"/>
        <v>0</v>
      </c>
      <c r="I297" s="866" t="s">
        <v>221</v>
      </c>
      <c r="J297" s="38">
        <f t="shared" ref="J297:N297" si="219">+(J296-J$215)/J$215</f>
        <v>0</v>
      </c>
      <c r="K297" s="38">
        <f t="shared" si="219"/>
        <v>0</v>
      </c>
      <c r="L297" s="38">
        <f t="shared" si="219"/>
        <v>0</v>
      </c>
      <c r="M297" s="38">
        <f t="shared" si="219"/>
        <v>0</v>
      </c>
      <c r="N297" s="38">
        <f t="shared" si="219"/>
        <v>0</v>
      </c>
      <c r="O297" s="38"/>
      <c r="P297" s="866" t="s">
        <v>221</v>
      </c>
      <c r="Q297" s="866" t="s">
        <v>221</v>
      </c>
      <c r="R297" s="866" t="s">
        <v>221</v>
      </c>
      <c r="S297" s="38">
        <f t="shared" ref="S297:V297" si="220">+(S296-S$215)/S$215</f>
        <v>0</v>
      </c>
      <c r="T297" s="38">
        <f t="shared" si="220"/>
        <v>0</v>
      </c>
      <c r="U297" s="38">
        <f t="shared" si="220"/>
        <v>0</v>
      </c>
      <c r="V297" s="38">
        <f t="shared" si="220"/>
        <v>0</v>
      </c>
      <c r="W297" s="1" t="s">
        <v>216</v>
      </c>
    </row>
    <row r="298" spans="1:23" ht="24.9" customHeight="1" thickBot="1" x14ac:dyDescent="0.3">
      <c r="A298" s="1192"/>
      <c r="B298" s="1201"/>
      <c r="C298" s="51" t="s">
        <v>17</v>
      </c>
      <c r="D298" s="859">
        <v>0.18360000000000001</v>
      </c>
      <c r="E298" s="860">
        <v>0.1</v>
      </c>
      <c r="F298" s="859">
        <v>0.12239999999999999</v>
      </c>
      <c r="G298" s="859">
        <v>0.24479999999999999</v>
      </c>
      <c r="H298" s="859">
        <v>0.4284</v>
      </c>
      <c r="I298" s="861" t="s">
        <v>241</v>
      </c>
      <c r="J298" s="859">
        <v>0.1239</v>
      </c>
      <c r="K298" s="862">
        <f>+K296</f>
        <v>1.5</v>
      </c>
      <c r="L298" s="860">
        <f>+L296</f>
        <v>5</v>
      </c>
      <c r="M298" s="860">
        <f>+M296</f>
        <v>15</v>
      </c>
      <c r="N298" s="860">
        <f>+N296</f>
        <v>25</v>
      </c>
      <c r="O298" s="860"/>
      <c r="P298" s="860">
        <v>3.25</v>
      </c>
      <c r="Q298" s="860">
        <v>5</v>
      </c>
      <c r="R298" s="860" t="s">
        <v>239</v>
      </c>
      <c r="S298" s="860">
        <f>+S296</f>
        <v>60</v>
      </c>
      <c r="T298" s="863">
        <f>+T296</f>
        <v>8.5</v>
      </c>
      <c r="U298" s="864">
        <v>8</v>
      </c>
      <c r="V298" s="865">
        <v>13</v>
      </c>
    </row>
    <row r="299" spans="1:23" ht="24.9" customHeight="1" x14ac:dyDescent="0.25">
      <c r="A299" s="1192"/>
      <c r="B299" s="1188" t="s">
        <v>26</v>
      </c>
      <c r="C299" s="711"/>
      <c r="D299" s="92">
        <v>0.192</v>
      </c>
      <c r="E299" s="92">
        <v>6.4000000000000001E-2</v>
      </c>
      <c r="F299" s="92">
        <v>0.128</v>
      </c>
      <c r="G299" s="92">
        <v>0.25700000000000001</v>
      </c>
      <c r="H299" s="92">
        <v>0.45</v>
      </c>
      <c r="I299" s="92">
        <v>0.1</v>
      </c>
      <c r="J299" s="92">
        <v>1.2809999999999999</v>
      </c>
      <c r="K299" s="92">
        <v>3.194</v>
      </c>
      <c r="L299" s="92">
        <v>5.32</v>
      </c>
      <c r="M299" s="92">
        <v>15.944000000000001</v>
      </c>
      <c r="N299" s="92">
        <v>26.58</v>
      </c>
      <c r="O299" s="92">
        <v>3.51</v>
      </c>
      <c r="P299" s="92">
        <v>9.6489999999999991</v>
      </c>
      <c r="Q299" s="92">
        <v>14.848000000000001</v>
      </c>
      <c r="R299" s="92">
        <v>0.13400000000000001</v>
      </c>
      <c r="S299" s="92">
        <v>54.396000000000001</v>
      </c>
      <c r="T299" s="570">
        <v>5.4409999999999998</v>
      </c>
      <c r="U299" s="613">
        <v>5.4</v>
      </c>
      <c r="V299" s="589">
        <v>8.9640000000000004</v>
      </c>
    </row>
    <row r="300" spans="1:23" s="781" customFormat="1" ht="24.9" customHeight="1" thickBot="1" x14ac:dyDescent="0.3">
      <c r="A300" s="1192"/>
      <c r="B300" s="1189"/>
      <c r="C300" s="96"/>
      <c r="D300" s="30">
        <f>+(D299-D$218)/D$218</f>
        <v>-9.8591549295774614E-2</v>
      </c>
      <c r="E300" s="30">
        <f t="shared" ref="E300" si="221">+(E299-E$218)/E$218</f>
        <v>-9.8591549295774544E-2</v>
      </c>
      <c r="F300" s="30">
        <f t="shared" ref="F300" si="222">+(F299-F$218)/F$218</f>
        <v>-9.8591549295774544E-2</v>
      </c>
      <c r="G300" s="30">
        <f t="shared" ref="G300" si="223">+(G299-G$218)/G$218</f>
        <v>-9.8245614035087622E-2</v>
      </c>
      <c r="H300" s="30">
        <f t="shared" ref="H300" si="224">+(H299-H$218)/H$218</f>
        <v>-9.9999999999999978E-2</v>
      </c>
      <c r="I300" s="882" t="s">
        <v>221</v>
      </c>
      <c r="J300" s="30">
        <f t="shared" ref="J300" si="225">+(J299-J$218)/J$218</f>
        <v>-9.9789177793394329E-2</v>
      </c>
      <c r="K300" s="30">
        <f t="shared" ref="K300" si="226">+(K299-K$218)/K$218</f>
        <v>-0.10002817695125388</v>
      </c>
      <c r="L300" s="30">
        <f t="shared" ref="L300" si="227">+(L299-L$218)/L$218</f>
        <v>-9.9983082388766589E-2</v>
      </c>
      <c r="M300" s="30">
        <f t="shared" ref="M300" si="228">+(M299-M$218)/M$218</f>
        <v>-0.10002257846014903</v>
      </c>
      <c r="N300" s="30">
        <f t="shared" ref="N300" si="229">+(N299-N$218)/N$218</f>
        <v>-0.10059892396711002</v>
      </c>
      <c r="O300" s="30">
        <f t="shared" ref="O300" si="230">+(O299-O$218)/O$218</f>
        <v>-0.10000000000000003</v>
      </c>
      <c r="P300" s="30">
        <f t="shared" ref="P300" si="231">+(P299-P$218)/P$218</f>
        <v>-9.9990672511892642E-2</v>
      </c>
      <c r="Q300" s="30">
        <f t="shared" ref="Q300" si="232">+(Q299-Q$218)/Q$218</f>
        <v>-0.10001212268153717</v>
      </c>
      <c r="R300" s="30">
        <f t="shared" ref="R300" si="233">+(R299-R$218)/R$218</f>
        <v>-0.10067114093959723</v>
      </c>
      <c r="S300" s="30">
        <f t="shared" ref="S300" si="234">+(S299-S$218)/S$218</f>
        <v>-0.10302750478200642</v>
      </c>
      <c r="T300" s="571">
        <f t="shared" ref="T300" si="235">+(T299-T$218)/T$218</f>
        <v>-9.9917287014061218E-2</v>
      </c>
      <c r="U300" s="614">
        <f t="shared" ref="U300" si="236">+(U299-U$218)/U$218</f>
        <v>-9.9999999999999936E-2</v>
      </c>
      <c r="V300" s="590">
        <f t="shared" ref="V300" si="237">+(V299-V$218)/V$218</f>
        <v>-0.10000000000000003</v>
      </c>
    </row>
    <row r="301" spans="1:23" ht="24.9" customHeight="1" x14ac:dyDescent="0.25">
      <c r="A301" s="1192"/>
      <c r="B301" s="1188" t="s">
        <v>28</v>
      </c>
      <c r="C301" s="14" t="s">
        <v>16</v>
      </c>
      <c r="D301" s="46">
        <v>0.16399999999999995</v>
      </c>
      <c r="E301" s="46"/>
      <c r="F301" s="46">
        <v>0.109</v>
      </c>
      <c r="G301" s="46">
        <v>0.22</v>
      </c>
      <c r="H301" s="46">
        <v>0.38299999999999995</v>
      </c>
      <c r="I301" s="46">
        <v>0.16399999999999995</v>
      </c>
      <c r="J301" s="46">
        <v>1.3739999999999999</v>
      </c>
      <c r="K301" s="46">
        <v>2.3759999999999994</v>
      </c>
      <c r="L301" s="46">
        <v>6</v>
      </c>
      <c r="M301" s="46">
        <v>11.880000000000003</v>
      </c>
      <c r="N301" s="46">
        <v>30</v>
      </c>
      <c r="O301" s="46"/>
      <c r="P301" s="46">
        <v>8.58</v>
      </c>
      <c r="Q301" s="46">
        <v>20</v>
      </c>
      <c r="R301" s="46">
        <v>0.125</v>
      </c>
      <c r="S301" s="46">
        <v>43.35</v>
      </c>
      <c r="T301" s="572"/>
      <c r="U301" s="615">
        <v>6</v>
      </c>
      <c r="V301" s="591">
        <v>16.600000000000001</v>
      </c>
    </row>
    <row r="302" spans="1:23" ht="24.9" customHeight="1" x14ac:dyDescent="0.25">
      <c r="A302" s="1192"/>
      <c r="B302" s="1190"/>
      <c r="C302" s="15"/>
      <c r="D302" s="34">
        <f>+(D301-D$220)/D$220</f>
        <v>0</v>
      </c>
      <c r="E302" s="34"/>
      <c r="F302" s="34">
        <f t="shared" ref="F302" si="238">+(F301-F$220)/F$220</f>
        <v>0</v>
      </c>
      <c r="G302" s="34">
        <f t="shared" ref="G302" si="239">+(G301-G$220)/G$220</f>
        <v>0</v>
      </c>
      <c r="H302" s="34">
        <f t="shared" ref="H302" si="240">+(H301-H$220)/H$220</f>
        <v>0</v>
      </c>
      <c r="I302" s="34">
        <f t="shared" ref="I302" si="241">+(I301-I$220)/I$220</f>
        <v>0</v>
      </c>
      <c r="J302" s="34">
        <f t="shared" ref="J302" si="242">+(J301-J$220)/J$220</f>
        <v>0</v>
      </c>
      <c r="K302" s="34">
        <f t="shared" ref="K302" si="243">+(K301-K$220)/K$220</f>
        <v>0</v>
      </c>
      <c r="L302" s="34">
        <f t="shared" ref="L302" si="244">+(L301-L$220)/L$220</f>
        <v>0</v>
      </c>
      <c r="M302" s="34">
        <f t="shared" ref="M302" si="245">+(M301-M$220)/M$220</f>
        <v>0</v>
      </c>
      <c r="N302" s="34">
        <f t="shared" ref="N302" si="246">+(N301-N$220)/N$220</f>
        <v>0</v>
      </c>
      <c r="O302" s="34"/>
      <c r="P302" s="34">
        <f t="shared" ref="P302" si="247">+(P301-P$220)/P$220</f>
        <v>0</v>
      </c>
      <c r="Q302" s="34">
        <f t="shared" ref="Q302" si="248">+(Q301-Q$220)/Q$220</f>
        <v>0</v>
      </c>
      <c r="R302" s="34">
        <f t="shared" ref="R302" si="249">+(R301-R$220)/R$220</f>
        <v>0</v>
      </c>
      <c r="S302" s="34">
        <f t="shared" ref="S302" si="250">+(S301-S$220)/S$220</f>
        <v>0</v>
      </c>
      <c r="T302" s="573"/>
      <c r="U302" s="616">
        <f t="shared" ref="U302" si="251">+(U301-U$220)/U$220</f>
        <v>0</v>
      </c>
      <c r="V302" s="592">
        <f t="shared" ref="V302" si="252">+(V301-V$220)/V$220</f>
        <v>0</v>
      </c>
      <c r="W302" s="1" t="s">
        <v>216</v>
      </c>
    </row>
    <row r="303" spans="1:23" ht="24.9" customHeight="1" x14ac:dyDescent="0.25">
      <c r="A303" s="1192"/>
      <c r="B303" s="1190"/>
      <c r="C303" s="53" t="s">
        <v>17</v>
      </c>
      <c r="D303" s="53"/>
      <c r="E303" s="53"/>
      <c r="F303" s="53"/>
      <c r="G303" s="53"/>
      <c r="H303" s="53"/>
      <c r="I303" s="53"/>
      <c r="J303" s="53"/>
      <c r="K303" s="949"/>
      <c r="L303" s="949"/>
      <c r="M303" s="949"/>
      <c r="N303" s="949"/>
      <c r="O303" s="949"/>
      <c r="P303" s="949"/>
      <c r="Q303" s="949"/>
      <c r="R303" s="53"/>
      <c r="S303" s="949"/>
      <c r="T303" s="950"/>
      <c r="U303" s="951"/>
      <c r="V303" s="949"/>
    </row>
    <row r="304" spans="1:23" ht="24.9" customHeight="1" thickBot="1" x14ac:dyDescent="0.3">
      <c r="A304" s="1192"/>
      <c r="B304" s="1189"/>
      <c r="C304" s="327" t="s">
        <v>22</v>
      </c>
      <c r="D304" s="327"/>
      <c r="E304" s="327"/>
      <c r="F304" s="327"/>
      <c r="G304" s="327"/>
      <c r="H304" s="327"/>
      <c r="I304" s="327"/>
      <c r="J304" s="327"/>
      <c r="K304" s="952"/>
      <c r="L304" s="952"/>
      <c r="M304" s="952"/>
      <c r="N304" s="952"/>
      <c r="O304" s="952"/>
      <c r="P304" s="952"/>
      <c r="Q304" s="952"/>
      <c r="R304" s="327"/>
      <c r="S304" s="952"/>
      <c r="T304" s="953"/>
      <c r="U304" s="954"/>
      <c r="V304" s="955"/>
    </row>
    <row r="305" spans="1:23" ht="24.9" customHeight="1" x14ac:dyDescent="0.25">
      <c r="A305" s="1205"/>
      <c r="B305" s="1188" t="s">
        <v>29</v>
      </c>
      <c r="C305" s="151" t="s">
        <v>16</v>
      </c>
      <c r="D305" s="747">
        <v>0.15</v>
      </c>
      <c r="E305" s="747">
        <v>0.1</v>
      </c>
      <c r="F305" s="747">
        <v>0.12</v>
      </c>
      <c r="G305" s="747">
        <v>0.22</v>
      </c>
      <c r="H305" s="747">
        <v>0.35</v>
      </c>
      <c r="I305" s="747">
        <v>0.2</v>
      </c>
      <c r="J305" s="747">
        <v>1</v>
      </c>
      <c r="K305" s="748">
        <v>2.2000000000000002</v>
      </c>
      <c r="L305" s="747">
        <v>3.7</v>
      </c>
      <c r="M305" s="747">
        <v>12</v>
      </c>
      <c r="N305" s="747">
        <v>20</v>
      </c>
      <c r="O305" s="747">
        <v>4</v>
      </c>
      <c r="P305" s="747">
        <v>9</v>
      </c>
      <c r="Q305" s="747">
        <v>13.8</v>
      </c>
      <c r="R305" s="747">
        <v>0.1</v>
      </c>
      <c r="S305" s="747">
        <v>20</v>
      </c>
      <c r="T305" s="747">
        <v>2</v>
      </c>
      <c r="U305" s="747">
        <v>6</v>
      </c>
      <c r="V305" s="749">
        <v>6</v>
      </c>
    </row>
    <row r="306" spans="1:23" ht="24.9" customHeight="1" thickBot="1" x14ac:dyDescent="0.3">
      <c r="A306" s="2"/>
      <c r="B306" s="1189"/>
      <c r="C306" s="766"/>
      <c r="D306" s="750">
        <f t="shared" ref="D306" si="253">+(D305-D$224)/D$224</f>
        <v>0</v>
      </c>
      <c r="E306" s="750">
        <f t="shared" ref="E306" si="254">+(E305-E$224)/E$224</f>
        <v>0</v>
      </c>
      <c r="F306" s="750">
        <f t="shared" ref="F306" si="255">+(F305-F$224)/F$224</f>
        <v>0</v>
      </c>
      <c r="G306" s="750">
        <f t="shared" ref="G306" si="256">+(G305-G$224)/G$224</f>
        <v>0</v>
      </c>
      <c r="H306" s="750">
        <f t="shared" ref="H306" si="257">+(H305-H$224)/H$224</f>
        <v>0</v>
      </c>
      <c r="I306" s="750">
        <f t="shared" ref="I306" si="258">+(I305-I$224)/I$224</f>
        <v>0</v>
      </c>
      <c r="J306" s="750">
        <f t="shared" ref="J306" si="259">+(J305-J$224)/J$224</f>
        <v>0</v>
      </c>
      <c r="K306" s="750">
        <f t="shared" ref="K306" si="260">+(K305-K$224)/K$224</f>
        <v>0</v>
      </c>
      <c r="L306" s="750">
        <f t="shared" ref="L306" si="261">+(L305-L$224)/L$224</f>
        <v>0</v>
      </c>
      <c r="M306" s="750">
        <f t="shared" ref="M306" si="262">+(M305-M$224)/M$224</f>
        <v>0</v>
      </c>
      <c r="N306" s="750">
        <f t="shared" ref="N306" si="263">+(N305-N$224)/N$224</f>
        <v>0</v>
      </c>
      <c r="O306" s="750">
        <f t="shared" ref="O306" si="264">+(O305-O$224)/O$224</f>
        <v>0.33333333333333331</v>
      </c>
      <c r="P306" s="750">
        <f t="shared" ref="P306" si="265">+(P305-P$224)/P$224</f>
        <v>0</v>
      </c>
      <c r="Q306" s="750">
        <f t="shared" ref="Q306" si="266">+(Q305-Q$224)/Q$224</f>
        <v>0</v>
      </c>
      <c r="R306" s="750">
        <f t="shared" ref="R306" si="267">+(R305-R$224)/R$224</f>
        <v>0</v>
      </c>
      <c r="S306" s="750">
        <f t="shared" ref="S306" si="268">+(S305-S$224)/S$224</f>
        <v>0</v>
      </c>
      <c r="T306" s="750">
        <f t="shared" ref="T306" si="269">+(T305-T$224)/T$224</f>
        <v>0</v>
      </c>
      <c r="U306" s="750">
        <f t="shared" ref="U306" si="270">+(U305-U$224)/U$224</f>
        <v>0.2</v>
      </c>
      <c r="V306" s="767">
        <f t="shared" ref="V306" si="271">+(V305-V$224)/V$224</f>
        <v>0.2</v>
      </c>
      <c r="W306" s="3" t="s">
        <v>216</v>
      </c>
    </row>
    <row r="307" spans="1:23" ht="24.9" customHeight="1" thickBot="1" x14ac:dyDescent="0.3"/>
    <row r="308" spans="1:23" ht="93" customHeight="1" x14ac:dyDescent="0.25">
      <c r="A308" s="36"/>
      <c r="B308" s="1194" t="s">
        <v>30</v>
      </c>
      <c r="C308" s="1195"/>
      <c r="D308" s="19" t="s">
        <v>0</v>
      </c>
      <c r="E308" s="19" t="s">
        <v>25</v>
      </c>
      <c r="F308" s="19" t="s">
        <v>1</v>
      </c>
      <c r="G308" s="19" t="s">
        <v>2</v>
      </c>
      <c r="H308" s="19" t="s">
        <v>13</v>
      </c>
      <c r="I308" s="19" t="s">
        <v>14</v>
      </c>
      <c r="J308" s="19" t="s">
        <v>10</v>
      </c>
      <c r="K308" s="19" t="s">
        <v>3</v>
      </c>
      <c r="L308" s="19" t="s">
        <v>4</v>
      </c>
      <c r="M308" s="19" t="s">
        <v>19</v>
      </c>
      <c r="N308" s="19" t="s">
        <v>20</v>
      </c>
      <c r="O308" s="19" t="s">
        <v>152</v>
      </c>
      <c r="P308" s="19" t="s">
        <v>5</v>
      </c>
      <c r="Q308" s="19" t="s">
        <v>6</v>
      </c>
      <c r="R308" s="19" t="s">
        <v>18</v>
      </c>
      <c r="S308" s="19" t="s">
        <v>7</v>
      </c>
      <c r="T308" s="20" t="s">
        <v>8</v>
      </c>
      <c r="U308" s="19" t="s">
        <v>199</v>
      </c>
      <c r="V308" s="580" t="s">
        <v>200</v>
      </c>
    </row>
    <row r="309" spans="1:23" ht="24.9" customHeight="1" thickBot="1" x14ac:dyDescent="0.3">
      <c r="A309" s="37"/>
      <c r="B309" s="1196"/>
      <c r="C309" s="1197"/>
      <c r="D309" s="22" t="s">
        <v>9</v>
      </c>
      <c r="E309" s="22"/>
      <c r="F309" s="22" t="s">
        <v>9</v>
      </c>
      <c r="G309" s="22" t="s">
        <v>9</v>
      </c>
      <c r="H309" s="22" t="s">
        <v>9</v>
      </c>
      <c r="I309" s="22" t="s">
        <v>9</v>
      </c>
      <c r="J309" s="22" t="s">
        <v>9</v>
      </c>
      <c r="K309" s="22" t="s">
        <v>9</v>
      </c>
      <c r="L309" s="22" t="s">
        <v>9</v>
      </c>
      <c r="M309" s="22" t="s">
        <v>11</v>
      </c>
      <c r="N309" s="22" t="s">
        <v>11</v>
      </c>
      <c r="O309" s="22" t="s">
        <v>11</v>
      </c>
      <c r="P309" s="22" t="s">
        <v>9</v>
      </c>
      <c r="Q309" s="22" t="s">
        <v>9</v>
      </c>
      <c r="R309" s="22" t="s">
        <v>21</v>
      </c>
      <c r="S309" s="22" t="s">
        <v>12</v>
      </c>
      <c r="T309" s="23" t="s">
        <v>12</v>
      </c>
      <c r="U309" s="22" t="s">
        <v>9</v>
      </c>
      <c r="V309" s="23" t="s">
        <v>9</v>
      </c>
    </row>
    <row r="310" spans="1:23" ht="24.9" customHeight="1" x14ac:dyDescent="0.25">
      <c r="A310" s="1192">
        <v>2023</v>
      </c>
      <c r="B310" s="1188" t="s">
        <v>23</v>
      </c>
      <c r="C310" s="1202" t="s">
        <v>16</v>
      </c>
      <c r="D310" s="31">
        <v>0.15</v>
      </c>
      <c r="E310" s="31"/>
      <c r="F310" s="31">
        <v>0.15</v>
      </c>
      <c r="G310" s="31">
        <v>0.18</v>
      </c>
      <c r="H310" s="31">
        <v>0.6</v>
      </c>
      <c r="I310" s="33">
        <v>0.18</v>
      </c>
      <c r="J310" s="31">
        <v>1.2</v>
      </c>
      <c r="K310" s="31">
        <v>3</v>
      </c>
      <c r="L310" s="31">
        <v>6</v>
      </c>
      <c r="M310" s="31">
        <v>15</v>
      </c>
      <c r="N310" s="31">
        <v>30</v>
      </c>
      <c r="O310" s="31"/>
      <c r="P310" s="31">
        <v>7</v>
      </c>
      <c r="Q310" s="31">
        <v>20</v>
      </c>
      <c r="R310" s="31"/>
      <c r="S310" s="31">
        <v>60</v>
      </c>
      <c r="T310" s="32">
        <v>5</v>
      </c>
      <c r="U310" s="31">
        <v>8.3000000000000007</v>
      </c>
      <c r="V310" s="581">
        <v>16.600000000000001</v>
      </c>
    </row>
    <row r="311" spans="1:23" ht="24.9" customHeight="1" x14ac:dyDescent="0.25">
      <c r="A311" s="1192"/>
      <c r="B311" s="1190"/>
      <c r="C311" s="1203"/>
      <c r="D311" s="24">
        <f t="shared" ref="D311:V311" si="272">+(D310-D$209)/D$209</f>
        <v>0</v>
      </c>
      <c r="E311" s="24"/>
      <c r="F311" s="24">
        <f t="shared" si="272"/>
        <v>0</v>
      </c>
      <c r="G311" s="24">
        <f t="shared" si="272"/>
        <v>0</v>
      </c>
      <c r="H311" s="24">
        <f t="shared" si="272"/>
        <v>0</v>
      </c>
      <c r="I311" s="24">
        <f t="shared" si="272"/>
        <v>0</v>
      </c>
      <c r="J311" s="24">
        <f t="shared" si="272"/>
        <v>0</v>
      </c>
      <c r="K311" s="24">
        <f t="shared" si="272"/>
        <v>0</v>
      </c>
      <c r="L311" s="24">
        <f t="shared" si="272"/>
        <v>0</v>
      </c>
      <c r="M311" s="24">
        <f t="shared" si="272"/>
        <v>0</v>
      </c>
      <c r="N311" s="24">
        <f t="shared" si="272"/>
        <v>0</v>
      </c>
      <c r="O311" s="24"/>
      <c r="P311" s="24">
        <f t="shared" si="272"/>
        <v>0</v>
      </c>
      <c r="Q311" s="24">
        <f t="shared" si="272"/>
        <v>0</v>
      </c>
      <c r="R311" s="24"/>
      <c r="S311" s="24">
        <f t="shared" si="272"/>
        <v>0</v>
      </c>
      <c r="T311" s="24">
        <f t="shared" si="272"/>
        <v>0</v>
      </c>
      <c r="U311" s="24">
        <f t="shared" si="272"/>
        <v>0</v>
      </c>
      <c r="V311" s="582">
        <f t="shared" si="272"/>
        <v>0</v>
      </c>
      <c r="W311" s="1" t="s">
        <v>216</v>
      </c>
    </row>
    <row r="312" spans="1:23" ht="24.9" customHeight="1" x14ac:dyDescent="0.25">
      <c r="A312" s="1192"/>
      <c r="B312" s="1190"/>
      <c r="C312" s="53" t="s">
        <v>17</v>
      </c>
      <c r="D312" s="9"/>
      <c r="E312" s="9"/>
      <c r="F312" s="9">
        <v>0.16</v>
      </c>
      <c r="G312" s="9">
        <v>0.27</v>
      </c>
      <c r="H312" s="9">
        <v>0.7</v>
      </c>
      <c r="I312" s="9">
        <v>0.25</v>
      </c>
      <c r="J312" s="9">
        <v>1.7</v>
      </c>
      <c r="K312" s="9">
        <v>3.6</v>
      </c>
      <c r="L312" s="9">
        <v>6</v>
      </c>
      <c r="M312" s="9">
        <v>15</v>
      </c>
      <c r="N312" s="9">
        <v>30</v>
      </c>
      <c r="O312" s="9"/>
      <c r="P312" s="9">
        <v>8</v>
      </c>
      <c r="Q312" s="9">
        <v>20</v>
      </c>
      <c r="R312" s="9">
        <f>+R310*1.16</f>
        <v>0</v>
      </c>
      <c r="S312" s="9">
        <v>60</v>
      </c>
      <c r="T312" s="10">
        <v>5</v>
      </c>
      <c r="U312" s="596">
        <v>9.1999999999999993</v>
      </c>
      <c r="V312" s="583">
        <v>16.600000000000001</v>
      </c>
    </row>
    <row r="313" spans="1:23" ht="24.9" customHeight="1" thickBot="1" x14ac:dyDescent="0.3">
      <c r="A313" s="1192"/>
      <c r="B313" s="1189"/>
      <c r="C313" s="51" t="s">
        <v>22</v>
      </c>
      <c r="D313" s="11">
        <v>0.25</v>
      </c>
      <c r="E313" s="11"/>
      <c r="F313" s="11">
        <v>0.18</v>
      </c>
      <c r="G313" s="11">
        <v>0.35</v>
      </c>
      <c r="H313" s="11">
        <v>0.7</v>
      </c>
      <c r="I313" s="11">
        <v>0.3</v>
      </c>
      <c r="J313" s="11">
        <v>2</v>
      </c>
      <c r="K313" s="11">
        <v>3.6</v>
      </c>
      <c r="L313" s="11">
        <v>6</v>
      </c>
      <c r="M313" s="11">
        <v>18</v>
      </c>
      <c r="N313" s="11">
        <v>30</v>
      </c>
      <c r="O313" s="11"/>
      <c r="P313" s="11">
        <v>11</v>
      </c>
      <c r="Q313" s="11">
        <v>20</v>
      </c>
      <c r="R313" s="11">
        <f>+R310*1.33</f>
        <v>0</v>
      </c>
      <c r="S313" s="11">
        <v>60</v>
      </c>
      <c r="T313" s="12">
        <v>5</v>
      </c>
      <c r="U313" s="606">
        <v>10</v>
      </c>
      <c r="V313" s="607">
        <v>16.600000000000001</v>
      </c>
    </row>
    <row r="314" spans="1:23" ht="24.9" customHeight="1" x14ac:dyDescent="0.25">
      <c r="A314" s="1192"/>
      <c r="B314" s="1188" t="s">
        <v>24</v>
      </c>
      <c r="C314" s="711"/>
      <c r="D314" s="97">
        <v>0.13200000000000001</v>
      </c>
      <c r="E314" s="97">
        <v>0.1</v>
      </c>
      <c r="F314" s="97">
        <v>8.2000000000000003E-2</v>
      </c>
      <c r="G314" s="97">
        <v>0.16400000000000001</v>
      </c>
      <c r="H314" s="97">
        <v>0.33</v>
      </c>
      <c r="I314" s="97"/>
      <c r="J314" s="97">
        <v>0.44</v>
      </c>
      <c r="K314" s="97">
        <v>0.77</v>
      </c>
      <c r="L314" s="97">
        <v>6</v>
      </c>
      <c r="M314" s="97">
        <v>7.4</v>
      </c>
      <c r="N314" s="97">
        <v>30</v>
      </c>
      <c r="O314" s="97">
        <v>4</v>
      </c>
      <c r="P314" s="97">
        <v>0.94</v>
      </c>
      <c r="Q314" s="97">
        <v>20</v>
      </c>
      <c r="R314" s="97"/>
      <c r="S314" s="97">
        <v>14</v>
      </c>
      <c r="T314" s="565">
        <v>1.4</v>
      </c>
      <c r="U314" s="609">
        <v>5</v>
      </c>
      <c r="V314" s="608">
        <v>5</v>
      </c>
    </row>
    <row r="315" spans="1:23" ht="24.9" customHeight="1" thickBot="1" x14ac:dyDescent="0.3">
      <c r="A315" s="1192"/>
      <c r="B315" s="1189"/>
      <c r="C315" s="712"/>
      <c r="D315" s="707">
        <f>+(D314-D$213)/D$213</f>
        <v>0</v>
      </c>
      <c r="E315" s="707">
        <f t="shared" ref="E315:V315" si="273">+(E314-E$213)/E$213</f>
        <v>0</v>
      </c>
      <c r="F315" s="707">
        <f t="shared" si="273"/>
        <v>0</v>
      </c>
      <c r="G315" s="707">
        <f t="shared" si="273"/>
        <v>0</v>
      </c>
      <c r="H315" s="707">
        <f t="shared" si="273"/>
        <v>0</v>
      </c>
      <c r="I315" s="707"/>
      <c r="J315" s="707">
        <f t="shared" si="273"/>
        <v>0</v>
      </c>
      <c r="K315" s="707">
        <f t="shared" si="273"/>
        <v>0</v>
      </c>
      <c r="L315" s="707">
        <f t="shared" si="273"/>
        <v>0</v>
      </c>
      <c r="M315" s="707">
        <f t="shared" si="273"/>
        <v>0</v>
      </c>
      <c r="N315" s="707">
        <f t="shared" si="273"/>
        <v>0</v>
      </c>
      <c r="O315" s="707">
        <f t="shared" si="273"/>
        <v>0</v>
      </c>
      <c r="P315" s="707">
        <f t="shared" si="273"/>
        <v>0</v>
      </c>
      <c r="Q315" s="707">
        <f t="shared" si="273"/>
        <v>0</v>
      </c>
      <c r="R315" s="707"/>
      <c r="S315" s="707">
        <f t="shared" si="273"/>
        <v>0</v>
      </c>
      <c r="T315" s="707">
        <f t="shared" si="273"/>
        <v>0</v>
      </c>
      <c r="U315" s="707">
        <f t="shared" si="273"/>
        <v>0</v>
      </c>
      <c r="V315" s="707">
        <f t="shared" si="273"/>
        <v>0</v>
      </c>
      <c r="W315" s="1" t="s">
        <v>216</v>
      </c>
    </row>
    <row r="316" spans="1:23" ht="24.9" customHeight="1" x14ac:dyDescent="0.25">
      <c r="A316" s="1192"/>
      <c r="B316" s="1198" t="s">
        <v>27</v>
      </c>
      <c r="C316" s="14" t="s">
        <v>16</v>
      </c>
      <c r="D316" s="42">
        <v>0.14119999999999999</v>
      </c>
      <c r="E316" s="285">
        <v>0.1</v>
      </c>
      <c r="F316" s="42">
        <v>9.4100000000000003E-2</v>
      </c>
      <c r="G316" s="42">
        <v>0.1883</v>
      </c>
      <c r="H316" s="42">
        <v>0.32950000000000002</v>
      </c>
      <c r="I316" s="42" t="s">
        <v>242</v>
      </c>
      <c r="J316" s="284">
        <v>0.9415</v>
      </c>
      <c r="K316" s="285">
        <v>1.5</v>
      </c>
      <c r="L316" s="285">
        <v>5</v>
      </c>
      <c r="M316" s="285">
        <v>15</v>
      </c>
      <c r="N316" s="285">
        <v>25</v>
      </c>
      <c r="O316" s="285"/>
      <c r="P316" s="285" t="s">
        <v>234</v>
      </c>
      <c r="Q316" s="285" t="s">
        <v>236</v>
      </c>
      <c r="R316" s="285" t="s">
        <v>240</v>
      </c>
      <c r="S316" s="285">
        <v>60</v>
      </c>
      <c r="T316" s="567">
        <v>8.5</v>
      </c>
      <c r="U316" s="611">
        <v>8</v>
      </c>
      <c r="V316" s="586">
        <v>13</v>
      </c>
    </row>
    <row r="317" spans="1:23" ht="24.9" customHeight="1" x14ac:dyDescent="0.25">
      <c r="A317" s="1192"/>
      <c r="B317" s="1190"/>
      <c r="C317" s="28"/>
      <c r="D317" s="38">
        <f>+(D316-D$215)/D$215</f>
        <v>0</v>
      </c>
      <c r="E317" s="38">
        <f t="shared" ref="E317:H317" si="274">+(E316-E$215)/E$215</f>
        <v>0</v>
      </c>
      <c r="F317" s="38">
        <f t="shared" si="274"/>
        <v>0</v>
      </c>
      <c r="G317" s="38">
        <f t="shared" si="274"/>
        <v>0</v>
      </c>
      <c r="H317" s="38">
        <f t="shared" si="274"/>
        <v>0</v>
      </c>
      <c r="I317" s="866" t="s">
        <v>221</v>
      </c>
      <c r="J317" s="38">
        <f t="shared" ref="J317:N317" si="275">+(J316-J$215)/J$215</f>
        <v>0</v>
      </c>
      <c r="K317" s="38">
        <f t="shared" si="275"/>
        <v>0</v>
      </c>
      <c r="L317" s="38">
        <f t="shared" si="275"/>
        <v>0</v>
      </c>
      <c r="M317" s="38">
        <f t="shared" si="275"/>
        <v>0</v>
      </c>
      <c r="N317" s="38">
        <f t="shared" si="275"/>
        <v>0</v>
      </c>
      <c r="O317" s="38"/>
      <c r="P317" s="866" t="s">
        <v>221</v>
      </c>
      <c r="Q317" s="866" t="s">
        <v>221</v>
      </c>
      <c r="R317" s="866" t="s">
        <v>221</v>
      </c>
      <c r="S317" s="38">
        <f t="shared" ref="S317:V317" si="276">+(S316-S$215)/S$215</f>
        <v>0</v>
      </c>
      <c r="T317" s="38">
        <f t="shared" si="276"/>
        <v>0</v>
      </c>
      <c r="U317" s="38">
        <f t="shared" si="276"/>
        <v>0</v>
      </c>
      <c r="V317" s="38">
        <f t="shared" si="276"/>
        <v>0</v>
      </c>
      <c r="W317" s="1" t="s">
        <v>216</v>
      </c>
    </row>
    <row r="318" spans="1:23" ht="24.9" customHeight="1" thickBot="1" x14ac:dyDescent="0.3">
      <c r="A318" s="1192"/>
      <c r="B318" s="1201"/>
      <c r="C318" s="51" t="s">
        <v>17</v>
      </c>
      <c r="D318" s="859">
        <v>0.18360000000000001</v>
      </c>
      <c r="E318" s="860">
        <v>0.1</v>
      </c>
      <c r="F318" s="859">
        <v>0.12239999999999999</v>
      </c>
      <c r="G318" s="859">
        <v>0.24479999999999999</v>
      </c>
      <c r="H318" s="859">
        <v>0.4284</v>
      </c>
      <c r="I318" s="861" t="s">
        <v>242</v>
      </c>
      <c r="J318" s="859">
        <v>0.1239</v>
      </c>
      <c r="K318" s="862">
        <f>+K316</f>
        <v>1.5</v>
      </c>
      <c r="L318" s="860">
        <f>+L316</f>
        <v>5</v>
      </c>
      <c r="M318" s="860">
        <f>+M316</f>
        <v>15</v>
      </c>
      <c r="N318" s="860">
        <f>+N316</f>
        <v>25</v>
      </c>
      <c r="O318" s="860"/>
      <c r="P318" s="860" t="s">
        <v>234</v>
      </c>
      <c r="Q318" s="860" t="s">
        <v>236</v>
      </c>
      <c r="R318" s="861" t="s">
        <v>240</v>
      </c>
      <c r="S318" s="860">
        <f>+S316</f>
        <v>60</v>
      </c>
      <c r="T318" s="863">
        <f>+T316</f>
        <v>8.5</v>
      </c>
      <c r="U318" s="864">
        <v>8</v>
      </c>
      <c r="V318" s="865">
        <v>13</v>
      </c>
    </row>
    <row r="319" spans="1:23" ht="24.9" customHeight="1" x14ac:dyDescent="0.25">
      <c r="A319" s="1192"/>
      <c r="B319" s="1188" t="s">
        <v>26</v>
      </c>
      <c r="C319" s="711"/>
      <c r="D319" s="92">
        <v>0.192</v>
      </c>
      <c r="E319" s="92">
        <v>6.4000000000000001E-2</v>
      </c>
      <c r="F319" s="92">
        <v>0.128</v>
      </c>
      <c r="G319" s="92">
        <v>0.25700000000000001</v>
      </c>
      <c r="H319" s="92">
        <v>0.45</v>
      </c>
      <c r="I319" s="92">
        <v>0.1</v>
      </c>
      <c r="J319" s="92">
        <v>1.2809999999999999</v>
      </c>
      <c r="K319" s="92">
        <v>3.194</v>
      </c>
      <c r="L319" s="92">
        <v>5.32</v>
      </c>
      <c r="M319" s="92">
        <v>15.944000000000001</v>
      </c>
      <c r="N319" s="92">
        <v>26.58</v>
      </c>
      <c r="O319" s="92">
        <v>3.51</v>
      </c>
      <c r="P319" s="92">
        <v>9.6489999999999991</v>
      </c>
      <c r="Q319" s="92">
        <v>14.848000000000001</v>
      </c>
      <c r="R319" s="92">
        <v>0.13400000000000001</v>
      </c>
      <c r="S319" s="92">
        <v>54.396000000000001</v>
      </c>
      <c r="T319" s="570">
        <v>5.4409999999999998</v>
      </c>
      <c r="U319" s="613">
        <v>5.4</v>
      </c>
      <c r="V319" s="589">
        <v>8.9640000000000004</v>
      </c>
    </row>
    <row r="320" spans="1:23" s="781" customFormat="1" ht="24.9" customHeight="1" thickBot="1" x14ac:dyDescent="0.3">
      <c r="A320" s="1192"/>
      <c r="B320" s="1189"/>
      <c r="C320" s="96"/>
      <c r="D320" s="30">
        <f>+(D319-D$218)/D$218</f>
        <v>-9.8591549295774614E-2</v>
      </c>
      <c r="E320" s="30">
        <f t="shared" ref="E320" si="277">+(E319-E$218)/E$218</f>
        <v>-9.8591549295774544E-2</v>
      </c>
      <c r="F320" s="30">
        <f t="shared" ref="F320" si="278">+(F319-F$218)/F$218</f>
        <v>-9.8591549295774544E-2</v>
      </c>
      <c r="G320" s="30">
        <f t="shared" ref="G320" si="279">+(G319-G$218)/G$218</f>
        <v>-9.8245614035087622E-2</v>
      </c>
      <c r="H320" s="30">
        <f t="shared" ref="H320" si="280">+(H319-H$218)/H$218</f>
        <v>-9.9999999999999978E-2</v>
      </c>
      <c r="I320" s="882" t="s">
        <v>221</v>
      </c>
      <c r="J320" s="30">
        <f t="shared" ref="J320" si="281">+(J319-J$218)/J$218</f>
        <v>-9.9789177793394329E-2</v>
      </c>
      <c r="K320" s="30">
        <f t="shared" ref="K320" si="282">+(K319-K$218)/K$218</f>
        <v>-0.10002817695125388</v>
      </c>
      <c r="L320" s="30">
        <f t="shared" ref="L320" si="283">+(L319-L$218)/L$218</f>
        <v>-9.9983082388766589E-2</v>
      </c>
      <c r="M320" s="30">
        <f t="shared" ref="M320" si="284">+(M319-M$218)/M$218</f>
        <v>-0.10002257846014903</v>
      </c>
      <c r="N320" s="30">
        <f t="shared" ref="N320" si="285">+(N319-N$218)/N$218</f>
        <v>-0.10059892396711002</v>
      </c>
      <c r="O320" s="30">
        <f t="shared" ref="O320" si="286">+(O319-O$218)/O$218</f>
        <v>-0.10000000000000003</v>
      </c>
      <c r="P320" s="30">
        <f t="shared" ref="P320" si="287">+(P319-P$218)/P$218</f>
        <v>-9.9990672511892642E-2</v>
      </c>
      <c r="Q320" s="30">
        <f t="shared" ref="Q320" si="288">+(Q319-Q$218)/Q$218</f>
        <v>-0.10001212268153717</v>
      </c>
      <c r="R320" s="30">
        <f t="shared" ref="R320" si="289">+(R319-R$218)/R$218</f>
        <v>-0.10067114093959723</v>
      </c>
      <c r="S320" s="30">
        <f t="shared" ref="S320" si="290">+(S319-S$218)/S$218</f>
        <v>-0.10302750478200642</v>
      </c>
      <c r="T320" s="571">
        <f t="shared" ref="T320" si="291">+(T319-T$218)/T$218</f>
        <v>-9.9917287014061218E-2</v>
      </c>
      <c r="U320" s="614">
        <f t="shared" ref="U320" si="292">+(U319-U$218)/U$218</f>
        <v>-9.9999999999999936E-2</v>
      </c>
      <c r="V320" s="590">
        <f t="shared" ref="V320" si="293">+(V319-V$218)/V$218</f>
        <v>-0.10000000000000003</v>
      </c>
    </row>
    <row r="321" spans="1:23" ht="24.9" customHeight="1" x14ac:dyDescent="0.25">
      <c r="A321" s="1192"/>
      <c r="B321" s="1188" t="s">
        <v>28</v>
      </c>
      <c r="C321" s="14" t="s">
        <v>16</v>
      </c>
      <c r="D321" s="46">
        <v>0.16399999999999995</v>
      </c>
      <c r="E321" s="46"/>
      <c r="F321" s="46">
        <v>0.109</v>
      </c>
      <c r="G321" s="46">
        <v>0.22</v>
      </c>
      <c r="H321" s="46">
        <v>0.38299999999999995</v>
      </c>
      <c r="I321" s="46">
        <v>0.16399999999999995</v>
      </c>
      <c r="J321" s="46">
        <v>1.3739999999999999</v>
      </c>
      <c r="K321" s="46">
        <v>2.3759999999999994</v>
      </c>
      <c r="L321" s="46">
        <v>6</v>
      </c>
      <c r="M321" s="46">
        <v>11.880000000000003</v>
      </c>
      <c r="N321" s="46">
        <v>30</v>
      </c>
      <c r="O321" s="46"/>
      <c r="P321" s="46">
        <v>8.58</v>
      </c>
      <c r="Q321" s="46">
        <v>20</v>
      </c>
      <c r="R321" s="46">
        <v>0.125</v>
      </c>
      <c r="S321" s="46">
        <v>43.35</v>
      </c>
      <c r="T321" s="572"/>
      <c r="U321" s="615">
        <v>6</v>
      </c>
      <c r="V321" s="591">
        <v>16.600000000000001</v>
      </c>
    </row>
    <row r="322" spans="1:23" ht="24.9" customHeight="1" x14ac:dyDescent="0.25">
      <c r="A322" s="1192"/>
      <c r="B322" s="1190"/>
      <c r="C322" s="15"/>
      <c r="D322" s="34">
        <f>+(D321-D$220)/D$220</f>
        <v>0</v>
      </c>
      <c r="E322" s="34"/>
      <c r="F322" s="34">
        <f t="shared" ref="F322" si="294">+(F321-F$220)/F$220</f>
        <v>0</v>
      </c>
      <c r="G322" s="34">
        <f t="shared" ref="G322" si="295">+(G321-G$220)/G$220</f>
        <v>0</v>
      </c>
      <c r="H322" s="34">
        <f t="shared" ref="H322" si="296">+(H321-H$220)/H$220</f>
        <v>0</v>
      </c>
      <c r="I322" s="34">
        <f t="shared" ref="I322" si="297">+(I321-I$220)/I$220</f>
        <v>0</v>
      </c>
      <c r="J322" s="34">
        <f t="shared" ref="J322" si="298">+(J321-J$220)/J$220</f>
        <v>0</v>
      </c>
      <c r="K322" s="34">
        <f t="shared" ref="K322" si="299">+(K321-K$220)/K$220</f>
        <v>0</v>
      </c>
      <c r="L322" s="34">
        <f t="shared" ref="L322" si="300">+(L321-L$220)/L$220</f>
        <v>0</v>
      </c>
      <c r="M322" s="34">
        <f t="shared" ref="M322" si="301">+(M321-M$220)/M$220</f>
        <v>0</v>
      </c>
      <c r="N322" s="34">
        <f t="shared" ref="N322" si="302">+(N321-N$220)/N$220</f>
        <v>0</v>
      </c>
      <c r="O322" s="34"/>
      <c r="P322" s="34">
        <f t="shared" ref="P322" si="303">+(P321-P$220)/P$220</f>
        <v>0</v>
      </c>
      <c r="Q322" s="34">
        <f t="shared" ref="Q322" si="304">+(Q321-Q$220)/Q$220</f>
        <v>0</v>
      </c>
      <c r="R322" s="34">
        <f t="shared" ref="R322" si="305">+(R321-R$220)/R$220</f>
        <v>0</v>
      </c>
      <c r="S322" s="34">
        <f t="shared" ref="S322" si="306">+(S321-S$220)/S$220</f>
        <v>0</v>
      </c>
      <c r="T322" s="573"/>
      <c r="U322" s="616">
        <f t="shared" ref="U322" si="307">+(U321-U$220)/U$220</f>
        <v>0</v>
      </c>
      <c r="V322" s="592">
        <f t="shared" ref="V322" si="308">+(V321-V$220)/V$220</f>
        <v>0</v>
      </c>
      <c r="W322" s="1" t="s">
        <v>216</v>
      </c>
    </row>
    <row r="323" spans="1:23" ht="24.9" customHeight="1" x14ac:dyDescent="0.25">
      <c r="A323" s="1192"/>
      <c r="B323" s="1190"/>
      <c r="C323" s="53"/>
      <c r="D323" s="53"/>
      <c r="E323" s="53"/>
      <c r="F323" s="53"/>
      <c r="G323" s="53"/>
      <c r="H323" s="53"/>
      <c r="I323" s="53"/>
      <c r="J323" s="53"/>
      <c r="K323" s="949"/>
      <c r="L323" s="949"/>
      <c r="M323" s="949"/>
      <c r="N323" s="949"/>
      <c r="O323" s="949"/>
      <c r="P323" s="949"/>
      <c r="Q323" s="949"/>
      <c r="R323" s="53"/>
      <c r="S323" s="949"/>
      <c r="T323" s="950"/>
      <c r="U323" s="951"/>
      <c r="V323" s="949"/>
    </row>
    <row r="324" spans="1:23" ht="24.9" customHeight="1" thickBot="1" x14ac:dyDescent="0.3">
      <c r="A324" s="1192"/>
      <c r="B324" s="1189"/>
      <c r="C324" s="327"/>
      <c r="D324" s="327"/>
      <c r="E324" s="327"/>
      <c r="F324" s="327"/>
      <c r="G324" s="327"/>
      <c r="H324" s="327"/>
      <c r="I324" s="327"/>
      <c r="J324" s="327"/>
      <c r="K324" s="952"/>
      <c r="L324" s="952"/>
      <c r="M324" s="952"/>
      <c r="N324" s="952"/>
      <c r="O324" s="952"/>
      <c r="P324" s="952"/>
      <c r="Q324" s="952"/>
      <c r="R324" s="327"/>
      <c r="S324" s="952"/>
      <c r="T324" s="953"/>
      <c r="U324" s="954"/>
      <c r="V324" s="955"/>
    </row>
    <row r="325" spans="1:23" ht="24.9" customHeight="1" x14ac:dyDescent="0.25">
      <c r="A325" s="1205"/>
      <c r="B325" s="1188" t="s">
        <v>29</v>
      </c>
      <c r="C325" s="14" t="s">
        <v>16</v>
      </c>
      <c r="D325" s="747">
        <v>0.15</v>
      </c>
      <c r="E325" s="747">
        <v>0.1</v>
      </c>
      <c r="F325" s="747">
        <v>0.12</v>
      </c>
      <c r="G325" s="747">
        <v>0.22</v>
      </c>
      <c r="H325" s="747">
        <v>0.35</v>
      </c>
      <c r="I325" s="747">
        <v>0.2</v>
      </c>
      <c r="J325" s="747">
        <v>1</v>
      </c>
      <c r="K325" s="748">
        <v>2.2000000000000002</v>
      </c>
      <c r="L325" s="747">
        <v>3.7</v>
      </c>
      <c r="M325" s="747">
        <v>12</v>
      </c>
      <c r="N325" s="747">
        <v>20</v>
      </c>
      <c r="O325" s="747">
        <v>4</v>
      </c>
      <c r="P325" s="747">
        <v>9</v>
      </c>
      <c r="Q325" s="747">
        <v>13.8</v>
      </c>
      <c r="R325" s="747">
        <v>0.1</v>
      </c>
      <c r="S325" s="747">
        <v>20</v>
      </c>
      <c r="T325" s="747">
        <v>2</v>
      </c>
      <c r="U325" s="747">
        <v>6</v>
      </c>
      <c r="V325" s="749">
        <v>6</v>
      </c>
    </row>
    <row r="326" spans="1:23" ht="24.9" customHeight="1" thickBot="1" x14ac:dyDescent="0.3">
      <c r="A326" s="2"/>
      <c r="B326" s="1189"/>
      <c r="C326" s="764"/>
      <c r="D326" s="750">
        <f t="shared" ref="D326" si="309">+(D325-D$224)/D$224</f>
        <v>0</v>
      </c>
      <c r="E326" s="750">
        <f t="shared" ref="E326" si="310">+(E325-E$224)/E$224</f>
        <v>0</v>
      </c>
      <c r="F326" s="750">
        <f t="shared" ref="F326" si="311">+(F325-F$224)/F$224</f>
        <v>0</v>
      </c>
      <c r="G326" s="750">
        <f t="shared" ref="G326" si="312">+(G325-G$224)/G$224</f>
        <v>0</v>
      </c>
      <c r="H326" s="750">
        <f t="shared" ref="H326" si="313">+(H325-H$224)/H$224</f>
        <v>0</v>
      </c>
      <c r="I326" s="750">
        <f t="shared" ref="I326" si="314">+(I325-I$224)/I$224</f>
        <v>0</v>
      </c>
      <c r="J326" s="750">
        <f t="shared" ref="J326" si="315">+(J325-J$224)/J$224</f>
        <v>0</v>
      </c>
      <c r="K326" s="750">
        <f t="shared" ref="K326" si="316">+(K325-K$224)/K$224</f>
        <v>0</v>
      </c>
      <c r="L326" s="750">
        <f t="shared" ref="L326" si="317">+(L325-L$224)/L$224</f>
        <v>0</v>
      </c>
      <c r="M326" s="750">
        <f t="shared" ref="M326" si="318">+(M325-M$224)/M$224</f>
        <v>0</v>
      </c>
      <c r="N326" s="750">
        <f t="shared" ref="N326" si="319">+(N325-N$224)/N$224</f>
        <v>0</v>
      </c>
      <c r="O326" s="750">
        <f t="shared" ref="O326" si="320">+(O325-O$224)/O$224</f>
        <v>0.33333333333333331</v>
      </c>
      <c r="P326" s="750">
        <f t="shared" ref="P326" si="321">+(P325-P$224)/P$224</f>
        <v>0</v>
      </c>
      <c r="Q326" s="750">
        <f t="shared" ref="Q326" si="322">+(Q325-Q$224)/Q$224</f>
        <v>0</v>
      </c>
      <c r="R326" s="750">
        <f t="shared" ref="R326" si="323">+(R325-R$224)/R$224</f>
        <v>0</v>
      </c>
      <c r="S326" s="750">
        <f t="shared" ref="S326" si="324">+(S325-S$224)/S$224</f>
        <v>0</v>
      </c>
      <c r="T326" s="750">
        <f t="shared" ref="T326" si="325">+(T325-T$224)/T$224</f>
        <v>0</v>
      </c>
      <c r="U326" s="750">
        <f t="shared" ref="U326" si="326">+(U325-U$224)/U$224</f>
        <v>0.2</v>
      </c>
      <c r="V326" s="767">
        <f t="shared" ref="V326" si="327">+(V325-V$224)/V$224</f>
        <v>0.2</v>
      </c>
      <c r="W326" s="3" t="s">
        <v>216</v>
      </c>
    </row>
    <row r="327" spans="1:23" ht="24.9" customHeight="1" thickBot="1" x14ac:dyDescent="0.3"/>
    <row r="328" spans="1:23" ht="93" customHeight="1" x14ac:dyDescent="0.25">
      <c r="A328" s="36"/>
      <c r="B328" s="1194" t="s">
        <v>30</v>
      </c>
      <c r="C328" s="1195"/>
      <c r="D328" s="19" t="s">
        <v>0</v>
      </c>
      <c r="E328" s="19" t="s">
        <v>25</v>
      </c>
      <c r="F328" s="19" t="s">
        <v>1</v>
      </c>
      <c r="G328" s="19" t="s">
        <v>2</v>
      </c>
      <c r="H328" s="19" t="s">
        <v>13</v>
      </c>
      <c r="I328" s="19" t="s">
        <v>14</v>
      </c>
      <c r="J328" s="19" t="s">
        <v>10</v>
      </c>
      <c r="K328" s="19" t="s">
        <v>3</v>
      </c>
      <c r="L328" s="19" t="s">
        <v>4</v>
      </c>
      <c r="M328" s="19" t="s">
        <v>19</v>
      </c>
      <c r="N328" s="19" t="s">
        <v>20</v>
      </c>
      <c r="O328" s="19" t="s">
        <v>152</v>
      </c>
      <c r="P328" s="19" t="s">
        <v>5</v>
      </c>
      <c r="Q328" s="19" t="s">
        <v>6</v>
      </c>
      <c r="R328" s="19" t="s">
        <v>18</v>
      </c>
      <c r="S328" s="19" t="s">
        <v>7</v>
      </c>
      <c r="T328" s="20" t="s">
        <v>8</v>
      </c>
      <c r="U328" s="19" t="s">
        <v>199</v>
      </c>
      <c r="V328" s="580" t="s">
        <v>200</v>
      </c>
    </row>
    <row r="329" spans="1:23" ht="24.9" customHeight="1" thickBot="1" x14ac:dyDescent="0.3">
      <c r="A329" s="37"/>
      <c r="B329" s="1196"/>
      <c r="C329" s="1197"/>
      <c r="D329" s="22" t="s">
        <v>9</v>
      </c>
      <c r="E329" s="22"/>
      <c r="F329" s="22" t="s">
        <v>9</v>
      </c>
      <c r="G329" s="22" t="s">
        <v>9</v>
      </c>
      <c r="H329" s="22" t="s">
        <v>9</v>
      </c>
      <c r="I329" s="22" t="s">
        <v>9</v>
      </c>
      <c r="J329" s="22" t="s">
        <v>9</v>
      </c>
      <c r="K329" s="22" t="s">
        <v>9</v>
      </c>
      <c r="L329" s="22" t="s">
        <v>9</v>
      </c>
      <c r="M329" s="22" t="s">
        <v>11</v>
      </c>
      <c r="N329" s="22" t="s">
        <v>11</v>
      </c>
      <c r="O329" s="22" t="s">
        <v>11</v>
      </c>
      <c r="P329" s="22" t="s">
        <v>9</v>
      </c>
      <c r="Q329" s="22" t="s">
        <v>9</v>
      </c>
      <c r="R329" s="22" t="s">
        <v>21</v>
      </c>
      <c r="S329" s="22" t="s">
        <v>12</v>
      </c>
      <c r="T329" s="23" t="s">
        <v>12</v>
      </c>
      <c r="U329" s="22" t="s">
        <v>9</v>
      </c>
      <c r="V329" s="23" t="s">
        <v>9</v>
      </c>
    </row>
    <row r="330" spans="1:23" ht="24.9" customHeight="1" x14ac:dyDescent="0.25">
      <c r="A330" s="1192">
        <v>2024</v>
      </c>
      <c r="B330" s="1188" t="s">
        <v>23</v>
      </c>
      <c r="C330" s="1202" t="s">
        <v>16</v>
      </c>
      <c r="D330" s="31">
        <v>0.15</v>
      </c>
      <c r="E330" s="31"/>
      <c r="F330" s="31">
        <v>0.15</v>
      </c>
      <c r="G330" s="31">
        <v>0.18</v>
      </c>
      <c r="H330" s="31">
        <v>0.6</v>
      </c>
      <c r="I330" s="33">
        <v>0.18</v>
      </c>
      <c r="J330" s="31">
        <v>1.2</v>
      </c>
      <c r="K330" s="31">
        <v>3</v>
      </c>
      <c r="L330" s="31">
        <v>6</v>
      </c>
      <c r="M330" s="31">
        <v>15</v>
      </c>
      <c r="N330" s="31">
        <v>30</v>
      </c>
      <c r="O330" s="31"/>
      <c r="P330" s="31">
        <v>7</v>
      </c>
      <c r="Q330" s="31">
        <v>20</v>
      </c>
      <c r="R330" s="31"/>
      <c r="S330" s="31">
        <v>60</v>
      </c>
      <c r="T330" s="32">
        <v>5</v>
      </c>
      <c r="U330" s="31">
        <v>8.3000000000000007</v>
      </c>
      <c r="V330" s="581">
        <v>16.600000000000001</v>
      </c>
    </row>
    <row r="331" spans="1:23" ht="24.9" customHeight="1" x14ac:dyDescent="0.25">
      <c r="A331" s="1192"/>
      <c r="B331" s="1190"/>
      <c r="C331" s="1203"/>
      <c r="D331" s="24">
        <f t="shared" ref="D331:V331" si="328">+(D330-D$209)/D$209</f>
        <v>0</v>
      </c>
      <c r="E331" s="24"/>
      <c r="F331" s="24">
        <f t="shared" si="328"/>
        <v>0</v>
      </c>
      <c r="G331" s="24">
        <f t="shared" si="328"/>
        <v>0</v>
      </c>
      <c r="H331" s="24">
        <f t="shared" si="328"/>
        <v>0</v>
      </c>
      <c r="I331" s="24">
        <f t="shared" si="328"/>
        <v>0</v>
      </c>
      <c r="J331" s="24">
        <f t="shared" si="328"/>
        <v>0</v>
      </c>
      <c r="K331" s="24">
        <f t="shared" si="328"/>
        <v>0</v>
      </c>
      <c r="L331" s="24">
        <f t="shared" si="328"/>
        <v>0</v>
      </c>
      <c r="M331" s="24">
        <f t="shared" si="328"/>
        <v>0</v>
      </c>
      <c r="N331" s="24">
        <f t="shared" si="328"/>
        <v>0</v>
      </c>
      <c r="O331" s="24"/>
      <c r="P331" s="24">
        <f t="shared" si="328"/>
        <v>0</v>
      </c>
      <c r="Q331" s="24">
        <f t="shared" si="328"/>
        <v>0</v>
      </c>
      <c r="R331" s="24"/>
      <c r="S331" s="24">
        <f t="shared" si="328"/>
        <v>0</v>
      </c>
      <c r="T331" s="24">
        <f t="shared" si="328"/>
        <v>0</v>
      </c>
      <c r="U331" s="24">
        <f t="shared" si="328"/>
        <v>0</v>
      </c>
      <c r="V331" s="582">
        <f t="shared" si="328"/>
        <v>0</v>
      </c>
      <c r="W331" s="1" t="s">
        <v>216</v>
      </c>
    </row>
    <row r="332" spans="1:23" ht="24.9" customHeight="1" x14ac:dyDescent="0.25">
      <c r="A332" s="1192"/>
      <c r="B332" s="1190"/>
      <c r="C332" s="53" t="s">
        <v>17</v>
      </c>
      <c r="D332" s="9"/>
      <c r="E332" s="9"/>
      <c r="F332" s="9">
        <v>0.16</v>
      </c>
      <c r="G332" s="9">
        <v>0.27</v>
      </c>
      <c r="H332" s="9">
        <v>0.7</v>
      </c>
      <c r="I332" s="9">
        <v>0.25</v>
      </c>
      <c r="J332" s="9">
        <v>1.7</v>
      </c>
      <c r="K332" s="9">
        <v>3.6</v>
      </c>
      <c r="L332" s="9">
        <v>6</v>
      </c>
      <c r="M332" s="9">
        <v>15</v>
      </c>
      <c r="N332" s="9">
        <v>30</v>
      </c>
      <c r="O332" s="9"/>
      <c r="P332" s="9">
        <v>8</v>
      </c>
      <c r="Q332" s="9">
        <v>20</v>
      </c>
      <c r="R332" s="9">
        <f>+R330*1.16</f>
        <v>0</v>
      </c>
      <c r="S332" s="9">
        <v>60</v>
      </c>
      <c r="T332" s="10">
        <v>5</v>
      </c>
      <c r="U332" s="596">
        <v>9.1999999999999993</v>
      </c>
      <c r="V332" s="583">
        <v>16.600000000000001</v>
      </c>
    </row>
    <row r="333" spans="1:23" ht="24.9" customHeight="1" thickBot="1" x14ac:dyDescent="0.3">
      <c r="A333" s="1192"/>
      <c r="B333" s="1189"/>
      <c r="C333" s="51" t="s">
        <v>22</v>
      </c>
      <c r="D333" s="11">
        <v>0.25</v>
      </c>
      <c r="E333" s="11"/>
      <c r="F333" s="11">
        <v>0.18</v>
      </c>
      <c r="G333" s="11">
        <v>0.35</v>
      </c>
      <c r="H333" s="11">
        <v>0.7</v>
      </c>
      <c r="I333" s="11">
        <v>0.3</v>
      </c>
      <c r="J333" s="11">
        <v>2</v>
      </c>
      <c r="K333" s="11">
        <v>3.6</v>
      </c>
      <c r="L333" s="11">
        <v>6</v>
      </c>
      <c r="M333" s="11">
        <v>18</v>
      </c>
      <c r="N333" s="11">
        <v>30</v>
      </c>
      <c r="O333" s="11"/>
      <c r="P333" s="11">
        <v>11</v>
      </c>
      <c r="Q333" s="11">
        <v>20</v>
      </c>
      <c r="R333" s="11">
        <f>+R330*1.33</f>
        <v>0</v>
      </c>
      <c r="S333" s="11">
        <v>60</v>
      </c>
      <c r="T333" s="12">
        <v>5</v>
      </c>
      <c r="U333" s="606">
        <v>10</v>
      </c>
      <c r="V333" s="607">
        <v>16.600000000000001</v>
      </c>
    </row>
    <row r="334" spans="1:23" ht="24.9" customHeight="1" x14ac:dyDescent="0.25">
      <c r="A334" s="1192"/>
      <c r="B334" s="1188" t="s">
        <v>24</v>
      </c>
      <c r="C334" s="711"/>
      <c r="D334" s="97">
        <v>0.13200000000000001</v>
      </c>
      <c r="E334" s="97">
        <v>0.1</v>
      </c>
      <c r="F334" s="97">
        <v>8.2000000000000003E-2</v>
      </c>
      <c r="G334" s="97">
        <v>0.16400000000000001</v>
      </c>
      <c r="H334" s="97">
        <v>0.33</v>
      </c>
      <c r="I334" s="97"/>
      <c r="J334" s="97">
        <v>0.44</v>
      </c>
      <c r="K334" s="97">
        <v>0.77</v>
      </c>
      <c r="L334" s="97">
        <v>6</v>
      </c>
      <c r="M334" s="97">
        <v>7.4</v>
      </c>
      <c r="N334" s="97">
        <v>30</v>
      </c>
      <c r="O334" s="97">
        <v>4</v>
      </c>
      <c r="P334" s="97">
        <v>0.94</v>
      </c>
      <c r="Q334" s="97">
        <v>20</v>
      </c>
      <c r="R334" s="97"/>
      <c r="S334" s="97">
        <v>14</v>
      </c>
      <c r="T334" s="565">
        <v>1.4</v>
      </c>
      <c r="U334" s="609">
        <v>5</v>
      </c>
      <c r="V334" s="608">
        <v>5</v>
      </c>
    </row>
    <row r="335" spans="1:23" ht="24.9" customHeight="1" thickBot="1" x14ac:dyDescent="0.3">
      <c r="A335" s="1192"/>
      <c r="B335" s="1189"/>
      <c r="C335" s="712"/>
      <c r="D335" s="707">
        <f>+(D334-D$213)/D$213</f>
        <v>0</v>
      </c>
      <c r="E335" s="707">
        <f t="shared" ref="E335:V335" si="329">+(E334-E$213)/E$213</f>
        <v>0</v>
      </c>
      <c r="F335" s="707">
        <f t="shared" si="329"/>
        <v>0</v>
      </c>
      <c r="G335" s="707">
        <f t="shared" si="329"/>
        <v>0</v>
      </c>
      <c r="H335" s="707">
        <f t="shared" si="329"/>
        <v>0</v>
      </c>
      <c r="I335" s="707"/>
      <c r="J335" s="707">
        <f t="shared" si="329"/>
        <v>0</v>
      </c>
      <c r="K335" s="707">
        <f t="shared" si="329"/>
        <v>0</v>
      </c>
      <c r="L335" s="707">
        <f t="shared" si="329"/>
        <v>0</v>
      </c>
      <c r="M335" s="707">
        <f t="shared" si="329"/>
        <v>0</v>
      </c>
      <c r="N335" s="707">
        <f t="shared" si="329"/>
        <v>0</v>
      </c>
      <c r="O335" s="707">
        <f t="shared" si="329"/>
        <v>0</v>
      </c>
      <c r="P335" s="707">
        <f t="shared" si="329"/>
        <v>0</v>
      </c>
      <c r="Q335" s="707">
        <f t="shared" si="329"/>
        <v>0</v>
      </c>
      <c r="R335" s="707"/>
      <c r="S335" s="707">
        <f t="shared" si="329"/>
        <v>0</v>
      </c>
      <c r="T335" s="707">
        <f t="shared" si="329"/>
        <v>0</v>
      </c>
      <c r="U335" s="707">
        <f t="shared" si="329"/>
        <v>0</v>
      </c>
      <c r="V335" s="707">
        <f t="shared" si="329"/>
        <v>0</v>
      </c>
      <c r="W335" s="758" t="s">
        <v>216</v>
      </c>
    </row>
    <row r="336" spans="1:23" ht="24.9" customHeight="1" x14ac:dyDescent="0.25">
      <c r="A336" s="1192"/>
      <c r="B336" s="1198" t="s">
        <v>27</v>
      </c>
      <c r="C336" s="14" t="s">
        <v>16</v>
      </c>
      <c r="D336" s="42">
        <v>0.14119999999999999</v>
      </c>
      <c r="E336" s="285">
        <v>0.1</v>
      </c>
      <c r="F336" s="42">
        <v>9.4100000000000003E-2</v>
      </c>
      <c r="G336" s="42">
        <v>0.1883</v>
      </c>
      <c r="H336" s="42">
        <v>0.32950000000000002</v>
      </c>
      <c r="I336" s="42" t="s">
        <v>243</v>
      </c>
      <c r="J336" s="284">
        <v>0.9415</v>
      </c>
      <c r="K336" s="285">
        <v>1.5</v>
      </c>
      <c r="L336" s="285">
        <v>5</v>
      </c>
      <c r="M336" s="285">
        <v>15</v>
      </c>
      <c r="N336" s="285">
        <v>25</v>
      </c>
      <c r="O336" s="285"/>
      <c r="P336" s="285" t="s">
        <v>235</v>
      </c>
      <c r="Q336" s="285" t="s">
        <v>237</v>
      </c>
      <c r="R336" s="287">
        <v>5.2999999999999999E-2</v>
      </c>
      <c r="S336" s="285">
        <v>60</v>
      </c>
      <c r="T336" s="567">
        <v>8.5</v>
      </c>
      <c r="U336" s="611">
        <v>8</v>
      </c>
      <c r="V336" s="586">
        <v>13</v>
      </c>
    </row>
    <row r="337" spans="1:23" ht="24.9" customHeight="1" thickBot="1" x14ac:dyDescent="0.3">
      <c r="A337" s="1192"/>
      <c r="B337" s="1190"/>
      <c r="C337" s="28"/>
      <c r="D337" s="38">
        <f>+(D336-D$215)/D$215</f>
        <v>0</v>
      </c>
      <c r="E337" s="38">
        <f t="shared" ref="E337:H337" si="330">+(E336-E$215)/E$215</f>
        <v>0</v>
      </c>
      <c r="F337" s="38">
        <f t="shared" si="330"/>
        <v>0</v>
      </c>
      <c r="G337" s="38">
        <f t="shared" si="330"/>
        <v>0</v>
      </c>
      <c r="H337" s="38">
        <f t="shared" si="330"/>
        <v>0</v>
      </c>
      <c r="I337" s="866" t="s">
        <v>221</v>
      </c>
      <c r="J337" s="38">
        <f t="shared" ref="J337:N337" si="331">+(J336-J$215)/J$215</f>
        <v>0</v>
      </c>
      <c r="K337" s="38">
        <f t="shared" si="331"/>
        <v>0</v>
      </c>
      <c r="L337" s="38">
        <f t="shared" si="331"/>
        <v>0</v>
      </c>
      <c r="M337" s="38">
        <f t="shared" si="331"/>
        <v>0</v>
      </c>
      <c r="N337" s="38">
        <f t="shared" si="331"/>
        <v>0</v>
      </c>
      <c r="O337" s="38"/>
      <c r="P337" s="866" t="s">
        <v>221</v>
      </c>
      <c r="Q337" s="866" t="s">
        <v>221</v>
      </c>
      <c r="R337" s="987" t="s">
        <v>221</v>
      </c>
      <c r="S337" s="38">
        <f t="shared" ref="S337:V337" si="332">+(S336-S$215)/S$215</f>
        <v>0</v>
      </c>
      <c r="T337" s="38">
        <f t="shared" si="332"/>
        <v>0</v>
      </c>
      <c r="U337" s="38">
        <f t="shared" si="332"/>
        <v>0</v>
      </c>
      <c r="V337" s="38">
        <f t="shared" si="332"/>
        <v>0</v>
      </c>
      <c r="W337" s="758" t="s">
        <v>216</v>
      </c>
    </row>
    <row r="338" spans="1:23" ht="24.9" customHeight="1" thickBot="1" x14ac:dyDescent="0.3">
      <c r="A338" s="1192"/>
      <c r="B338" s="1201"/>
      <c r="C338" s="51" t="s">
        <v>17</v>
      </c>
      <c r="D338" s="859" t="s">
        <v>238</v>
      </c>
      <c r="E338" s="860">
        <v>0.1</v>
      </c>
      <c r="F338" s="859">
        <v>0.12239999999999999</v>
      </c>
      <c r="G338" s="859">
        <v>0.24479999999999999</v>
      </c>
      <c r="H338" s="859">
        <v>0.4284</v>
      </c>
      <c r="I338" s="861" t="s">
        <v>243</v>
      </c>
      <c r="J338" s="859">
        <v>0.1239</v>
      </c>
      <c r="K338" s="862">
        <f>+K336</f>
        <v>1.5</v>
      </c>
      <c r="L338" s="860">
        <f>+L336</f>
        <v>5</v>
      </c>
      <c r="M338" s="860">
        <f>+M336</f>
        <v>15</v>
      </c>
      <c r="N338" s="860">
        <f>+N336</f>
        <v>25</v>
      </c>
      <c r="O338" s="860"/>
      <c r="P338" s="285" t="s">
        <v>235</v>
      </c>
      <c r="Q338" s="860"/>
      <c r="R338" s="861">
        <v>5.2999999999999999E-2</v>
      </c>
      <c r="S338" s="860">
        <f>+S336</f>
        <v>60</v>
      </c>
      <c r="T338" s="863">
        <f>+T336</f>
        <v>8.5</v>
      </c>
      <c r="U338" s="864">
        <v>8</v>
      </c>
      <c r="V338" s="865">
        <v>13</v>
      </c>
    </row>
    <row r="339" spans="1:23" ht="24.9" customHeight="1" x14ac:dyDescent="0.25">
      <c r="A339" s="1192"/>
      <c r="B339" s="1188" t="s">
        <v>26</v>
      </c>
      <c r="C339" s="711"/>
      <c r="D339" s="92">
        <v>0.192</v>
      </c>
      <c r="E339" s="92">
        <v>6.4000000000000001E-2</v>
      </c>
      <c r="F339" s="92">
        <v>0.128</v>
      </c>
      <c r="G339" s="92">
        <v>0.25700000000000001</v>
      </c>
      <c r="H339" s="92">
        <v>0.45</v>
      </c>
      <c r="I339" s="92">
        <v>0.1</v>
      </c>
      <c r="J339" s="92">
        <v>1.2809999999999999</v>
      </c>
      <c r="K339" s="92">
        <v>3.194</v>
      </c>
      <c r="L339" s="92">
        <v>5.32</v>
      </c>
      <c r="M339" s="92">
        <v>15.944000000000001</v>
      </c>
      <c r="N339" s="92">
        <v>26.58</v>
      </c>
      <c r="O339" s="92">
        <v>3.51</v>
      </c>
      <c r="P339" s="92">
        <v>9.6489999999999991</v>
      </c>
      <c r="Q339" s="92">
        <v>14.848000000000001</v>
      </c>
      <c r="R339" s="92">
        <v>0.13400000000000001</v>
      </c>
      <c r="S339" s="92">
        <v>54.396000000000001</v>
      </c>
      <c r="T339" s="570">
        <v>5.4409999999999998</v>
      </c>
      <c r="U339" s="613">
        <v>5.4</v>
      </c>
      <c r="V339" s="589">
        <v>8.9640000000000004</v>
      </c>
    </row>
    <row r="340" spans="1:23" s="781" customFormat="1" ht="24.9" customHeight="1" thickBot="1" x14ac:dyDescent="0.3">
      <c r="A340" s="1192"/>
      <c r="B340" s="1189"/>
      <c r="C340" s="96"/>
      <c r="D340" s="30">
        <f>+(D339-D$218)/D$218</f>
        <v>-9.8591549295774614E-2</v>
      </c>
      <c r="E340" s="30">
        <f t="shared" ref="E340" si="333">+(E339-E$218)/E$218</f>
        <v>-9.8591549295774544E-2</v>
      </c>
      <c r="F340" s="30">
        <f t="shared" ref="F340" si="334">+(F339-F$218)/F$218</f>
        <v>-9.8591549295774544E-2</v>
      </c>
      <c r="G340" s="30">
        <f t="shared" ref="G340" si="335">+(G339-G$218)/G$218</f>
        <v>-9.8245614035087622E-2</v>
      </c>
      <c r="H340" s="30">
        <f t="shared" ref="H340" si="336">+(H339-H$218)/H$218</f>
        <v>-9.9999999999999978E-2</v>
      </c>
      <c r="I340" s="882" t="s">
        <v>221</v>
      </c>
      <c r="J340" s="30">
        <f t="shared" ref="J340" si="337">+(J339-J$218)/J$218</f>
        <v>-9.9789177793394329E-2</v>
      </c>
      <c r="K340" s="30">
        <f t="shared" ref="K340" si="338">+(K339-K$218)/K$218</f>
        <v>-0.10002817695125388</v>
      </c>
      <c r="L340" s="30">
        <f t="shared" ref="L340" si="339">+(L339-L$218)/L$218</f>
        <v>-9.9983082388766589E-2</v>
      </c>
      <c r="M340" s="30">
        <f t="shared" ref="M340" si="340">+(M339-M$218)/M$218</f>
        <v>-0.10002257846014903</v>
      </c>
      <c r="N340" s="30">
        <f t="shared" ref="N340" si="341">+(N339-N$218)/N$218</f>
        <v>-0.10059892396711002</v>
      </c>
      <c r="O340" s="30">
        <f t="shared" ref="O340" si="342">+(O339-O$218)/O$218</f>
        <v>-0.10000000000000003</v>
      </c>
      <c r="P340" s="30">
        <f t="shared" ref="P340" si="343">+(P339-P$218)/P$218</f>
        <v>-9.9990672511892642E-2</v>
      </c>
      <c r="Q340" s="30">
        <f t="shared" ref="Q340" si="344">+(Q339-Q$218)/Q$218</f>
        <v>-0.10001212268153717</v>
      </c>
      <c r="R340" s="30">
        <f t="shared" ref="R340" si="345">+(R339-R$218)/R$218</f>
        <v>-0.10067114093959723</v>
      </c>
      <c r="S340" s="30">
        <f t="shared" ref="S340" si="346">+(S339-S$218)/S$218</f>
        <v>-0.10302750478200642</v>
      </c>
      <c r="T340" s="571">
        <f t="shared" ref="T340" si="347">+(T339-T$218)/T$218</f>
        <v>-9.9917287014061218E-2</v>
      </c>
      <c r="U340" s="614">
        <f t="shared" ref="U340" si="348">+(U339-U$218)/U$218</f>
        <v>-9.9999999999999936E-2</v>
      </c>
      <c r="V340" s="590">
        <f t="shared" ref="V340" si="349">+(V339-V$218)/V$218</f>
        <v>-0.10000000000000003</v>
      </c>
      <c r="W340" s="883" t="s">
        <v>216</v>
      </c>
    </row>
    <row r="341" spans="1:23" ht="24.9" customHeight="1" x14ac:dyDescent="0.25">
      <c r="A341" s="1192"/>
      <c r="B341" s="1188" t="s">
        <v>28</v>
      </c>
      <c r="C341" s="14" t="s">
        <v>16</v>
      </c>
      <c r="D341" s="46">
        <v>0.16399999999999995</v>
      </c>
      <c r="E341" s="46"/>
      <c r="F341" s="46">
        <v>0.109</v>
      </c>
      <c r="G341" s="46">
        <v>0.22</v>
      </c>
      <c r="H341" s="46">
        <v>0.38299999999999995</v>
      </c>
      <c r="I341" s="46">
        <v>0.16399999999999995</v>
      </c>
      <c r="J341" s="46">
        <v>1.3739999999999999</v>
      </c>
      <c r="K341" s="46">
        <v>2.3759999999999994</v>
      </c>
      <c r="L341" s="46">
        <v>6</v>
      </c>
      <c r="M341" s="46">
        <v>11.880000000000003</v>
      </c>
      <c r="N341" s="46">
        <v>30</v>
      </c>
      <c r="O341" s="46"/>
      <c r="P341" s="46">
        <v>8.58</v>
      </c>
      <c r="Q341" s="46">
        <v>20</v>
      </c>
      <c r="R341" s="46">
        <v>0.125</v>
      </c>
      <c r="S341" s="46">
        <v>43.35</v>
      </c>
      <c r="T341" s="572"/>
      <c r="U341" s="615">
        <v>6</v>
      </c>
      <c r="V341" s="591">
        <v>16.600000000000001</v>
      </c>
    </row>
    <row r="342" spans="1:23" ht="24.9" customHeight="1" x14ac:dyDescent="0.25">
      <c r="A342" s="1192"/>
      <c r="B342" s="1190"/>
      <c r="C342" s="15"/>
      <c r="D342" s="34">
        <f>+(D341-D$220)/D$220</f>
        <v>0</v>
      </c>
      <c r="E342" s="34"/>
      <c r="F342" s="34">
        <f t="shared" ref="F342" si="350">+(F341-F$220)/F$220</f>
        <v>0</v>
      </c>
      <c r="G342" s="34">
        <f t="shared" ref="G342" si="351">+(G341-G$220)/G$220</f>
        <v>0</v>
      </c>
      <c r="H342" s="34">
        <f t="shared" ref="H342" si="352">+(H341-H$220)/H$220</f>
        <v>0</v>
      </c>
      <c r="I342" s="34">
        <f t="shared" ref="I342" si="353">+(I341-I$220)/I$220</f>
        <v>0</v>
      </c>
      <c r="J342" s="34">
        <f t="shared" ref="J342" si="354">+(J341-J$220)/J$220</f>
        <v>0</v>
      </c>
      <c r="K342" s="34">
        <f t="shared" ref="K342" si="355">+(K341-K$220)/K$220</f>
        <v>0</v>
      </c>
      <c r="L342" s="34">
        <f t="shared" ref="L342" si="356">+(L341-L$220)/L$220</f>
        <v>0</v>
      </c>
      <c r="M342" s="34">
        <f t="shared" ref="M342" si="357">+(M341-M$220)/M$220</f>
        <v>0</v>
      </c>
      <c r="N342" s="34">
        <f t="shared" ref="N342" si="358">+(N341-N$220)/N$220</f>
        <v>0</v>
      </c>
      <c r="O342" s="34"/>
      <c r="P342" s="34">
        <f t="shared" ref="P342" si="359">+(P341-P$220)/P$220</f>
        <v>0</v>
      </c>
      <c r="Q342" s="34">
        <f t="shared" ref="Q342" si="360">+(Q341-Q$220)/Q$220</f>
        <v>0</v>
      </c>
      <c r="R342" s="34">
        <f t="shared" ref="R342" si="361">+(R341-R$220)/R$220</f>
        <v>0</v>
      </c>
      <c r="S342" s="34">
        <f t="shared" ref="S342" si="362">+(S341-S$220)/S$220</f>
        <v>0</v>
      </c>
      <c r="T342" s="573"/>
      <c r="U342" s="616">
        <f t="shared" ref="U342" si="363">+(U341-U$220)/U$220</f>
        <v>0</v>
      </c>
      <c r="V342" s="592">
        <f t="shared" ref="V342" si="364">+(V341-V$220)/V$220</f>
        <v>0</v>
      </c>
      <c r="W342" s="1" t="s">
        <v>216</v>
      </c>
    </row>
    <row r="343" spans="1:23" ht="24.9" customHeight="1" x14ac:dyDescent="0.25">
      <c r="A343" s="1192"/>
      <c r="B343" s="1190"/>
      <c r="C343" s="53"/>
      <c r="D343" s="53"/>
      <c r="E343" s="53"/>
      <c r="F343" s="53"/>
      <c r="G343" s="53"/>
      <c r="H343" s="53"/>
      <c r="I343" s="53"/>
      <c r="J343" s="53"/>
      <c r="K343" s="949"/>
      <c r="L343" s="949"/>
      <c r="M343" s="949"/>
      <c r="N343" s="949"/>
      <c r="O343" s="949"/>
      <c r="P343" s="949"/>
      <c r="Q343" s="949"/>
      <c r="R343" s="53"/>
      <c r="S343" s="949"/>
      <c r="T343" s="950"/>
      <c r="U343" s="951"/>
      <c r="V343" s="949"/>
    </row>
    <row r="344" spans="1:23" ht="24.9" customHeight="1" thickBot="1" x14ac:dyDescent="0.3">
      <c r="A344" s="1192"/>
      <c r="B344" s="1189"/>
      <c r="C344" s="327"/>
      <c r="D344" s="327"/>
      <c r="E344" s="327"/>
      <c r="F344" s="327"/>
      <c r="G344" s="327"/>
      <c r="H344" s="327"/>
      <c r="I344" s="327"/>
      <c r="J344" s="327"/>
      <c r="K344" s="952"/>
      <c r="L344" s="952"/>
      <c r="M344" s="952"/>
      <c r="N344" s="952"/>
      <c r="O344" s="952"/>
      <c r="P344" s="952"/>
      <c r="Q344" s="952"/>
      <c r="R344" s="327"/>
      <c r="S344" s="952"/>
      <c r="T344" s="953"/>
      <c r="U344" s="954"/>
      <c r="V344" s="955"/>
    </row>
    <row r="345" spans="1:23" ht="24.9" customHeight="1" x14ac:dyDescent="0.25">
      <c r="A345" s="1205"/>
      <c r="B345" s="1188" t="s">
        <v>29</v>
      </c>
      <c r="C345" s="14" t="s">
        <v>16</v>
      </c>
      <c r="D345" s="747">
        <v>0.15</v>
      </c>
      <c r="E345" s="747">
        <v>0.1</v>
      </c>
      <c r="F345" s="747">
        <v>0.12</v>
      </c>
      <c r="G345" s="747">
        <v>0.22</v>
      </c>
      <c r="H345" s="747">
        <v>0.35</v>
      </c>
      <c r="I345" s="747">
        <v>0.2</v>
      </c>
      <c r="J345" s="768">
        <v>1</v>
      </c>
      <c r="K345" s="769">
        <v>2.2000000000000002</v>
      </c>
      <c r="L345" s="768">
        <v>3.7</v>
      </c>
      <c r="M345" s="747">
        <v>12</v>
      </c>
      <c r="N345" s="770">
        <v>20</v>
      </c>
      <c r="O345" s="747">
        <v>4</v>
      </c>
      <c r="P345" s="747">
        <v>9</v>
      </c>
      <c r="Q345" s="747">
        <v>13.8</v>
      </c>
      <c r="R345" s="747">
        <v>0.1</v>
      </c>
      <c r="S345" s="747">
        <v>20</v>
      </c>
      <c r="T345" s="747">
        <v>2</v>
      </c>
      <c r="U345" s="747">
        <v>6</v>
      </c>
      <c r="V345" s="749">
        <v>6</v>
      </c>
    </row>
    <row r="346" spans="1:23" s="757" customFormat="1" ht="24.9" customHeight="1" thickBot="1" x14ac:dyDescent="0.3">
      <c r="B346" s="1189"/>
      <c r="C346" s="884"/>
      <c r="D346" s="885">
        <f t="shared" ref="D346" si="365">+(D345-D$224)/D$224</f>
        <v>0</v>
      </c>
      <c r="E346" s="885">
        <f t="shared" ref="E346" si="366">+(E345-E$224)/E$224</f>
        <v>0</v>
      </c>
      <c r="F346" s="885">
        <f t="shared" ref="F346" si="367">+(F345-F$224)/F$224</f>
        <v>0</v>
      </c>
      <c r="G346" s="885">
        <f t="shared" ref="G346" si="368">+(G345-G$224)/G$224</f>
        <v>0</v>
      </c>
      <c r="H346" s="885">
        <f t="shared" ref="H346" si="369">+(H345-H$224)/H$224</f>
        <v>0</v>
      </c>
      <c r="I346" s="885">
        <f t="shared" ref="I346" si="370">+(I345-I$224)/I$224</f>
        <v>0</v>
      </c>
      <c r="J346" s="885">
        <f t="shared" ref="J346" si="371">+(J345-J$224)/J$224</f>
        <v>0</v>
      </c>
      <c r="K346" s="885">
        <f t="shared" ref="K346" si="372">+(K345-K$224)/K$224</f>
        <v>0</v>
      </c>
      <c r="L346" s="885">
        <f t="shared" ref="L346" si="373">+(L345-L$224)/L$224</f>
        <v>0</v>
      </c>
      <c r="M346" s="885">
        <f t="shared" ref="M346" si="374">+(M345-M$224)/M$224</f>
        <v>0</v>
      </c>
      <c r="N346" s="771">
        <f t="shared" ref="N346" si="375">+(N345-N$224)/N$224</f>
        <v>0</v>
      </c>
      <c r="O346" s="886">
        <f t="shared" ref="O346" si="376">+(O345-O$224)/O$224</f>
        <v>0.33333333333333331</v>
      </c>
      <c r="P346" s="885">
        <f t="shared" ref="P346" si="377">+(P345-P$224)/P$224</f>
        <v>0</v>
      </c>
      <c r="Q346" s="885">
        <f t="shared" ref="Q346" si="378">+(Q345-Q$224)/Q$224</f>
        <v>0</v>
      </c>
      <c r="R346" s="885">
        <f t="shared" ref="R346" si="379">+(R345-R$224)/R$224</f>
        <v>0</v>
      </c>
      <c r="S346" s="885">
        <f t="shared" ref="S346" si="380">+(S345-S$224)/S$224</f>
        <v>0</v>
      </c>
      <c r="T346" s="885">
        <f t="shared" ref="T346" si="381">+(T345-T$224)/T$224</f>
        <v>0</v>
      </c>
      <c r="U346" s="885">
        <f t="shared" ref="U346" si="382">+(U345-U$224)/U$224</f>
        <v>0.2</v>
      </c>
      <c r="V346" s="887">
        <f t="shared" ref="V346" si="383">+(V345-V$224)/V$224</f>
        <v>0.2</v>
      </c>
      <c r="W346" s="757" t="s">
        <v>216</v>
      </c>
    </row>
    <row r="347" spans="1:23" ht="24.9" customHeight="1" x14ac:dyDescent="0.25"/>
    <row r="348" spans="1:23" ht="24.9" customHeight="1" x14ac:dyDescent="0.25"/>
    <row r="349" spans="1:23" ht="24.9" customHeight="1" x14ac:dyDescent="0.25"/>
    <row r="350" spans="1:23" ht="24.9" customHeight="1" x14ac:dyDescent="0.25"/>
    <row r="351" spans="1:23" ht="24.9" customHeight="1" x14ac:dyDescent="0.25"/>
    <row r="352" spans="1:23"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row r="395" ht="24.9" customHeight="1" x14ac:dyDescent="0.25"/>
    <row r="396" ht="24.9" customHeight="1" x14ac:dyDescent="0.25"/>
    <row r="397" ht="24.9" customHeight="1" x14ac:dyDescent="0.25"/>
    <row r="398" ht="24.9" customHeight="1" x14ac:dyDescent="0.25"/>
    <row r="399" ht="24.9" customHeight="1" x14ac:dyDescent="0.25"/>
    <row r="400" ht="24.9" customHeight="1" x14ac:dyDescent="0.25"/>
    <row r="401" ht="24.9" customHeight="1" x14ac:dyDescent="0.25"/>
    <row r="402" ht="24.9" customHeight="1" x14ac:dyDescent="0.25"/>
    <row r="403" ht="24.9" customHeight="1" x14ac:dyDescent="0.25"/>
    <row r="404" ht="24.9" customHeight="1" x14ac:dyDescent="0.25"/>
    <row r="405" ht="24.9" customHeight="1" x14ac:dyDescent="0.25"/>
    <row r="406" ht="24.9" customHeight="1" x14ac:dyDescent="0.25"/>
    <row r="407" ht="24.9" customHeight="1" x14ac:dyDescent="0.25"/>
    <row r="408" ht="24.9" customHeight="1" x14ac:dyDescent="0.25"/>
    <row r="409" ht="24.9" customHeight="1" x14ac:dyDescent="0.25"/>
    <row r="410" ht="24.9" customHeight="1" x14ac:dyDescent="0.25"/>
    <row r="411" ht="24.9" customHeight="1" x14ac:dyDescent="0.25"/>
    <row r="412" ht="24.9" customHeight="1" x14ac:dyDescent="0.25"/>
    <row r="413" ht="24.9" customHeight="1" x14ac:dyDescent="0.25"/>
    <row r="414" ht="24.9" customHeight="1" x14ac:dyDescent="0.25"/>
    <row r="415" ht="24.9" customHeight="1" x14ac:dyDescent="0.25"/>
    <row r="416" ht="24.9" customHeight="1" x14ac:dyDescent="0.25"/>
    <row r="417" ht="24.9" customHeight="1" x14ac:dyDescent="0.25"/>
    <row r="418" ht="24.9" customHeight="1" x14ac:dyDescent="0.25"/>
    <row r="419" ht="24.9" customHeight="1" x14ac:dyDescent="0.25"/>
    <row r="420" ht="24.9" customHeight="1" x14ac:dyDescent="0.25"/>
    <row r="421" ht="24.9" customHeight="1" x14ac:dyDescent="0.25"/>
    <row r="422" ht="24.9" customHeight="1" x14ac:dyDescent="0.25"/>
    <row r="423" ht="24.9" customHeight="1" x14ac:dyDescent="0.25"/>
    <row r="424" ht="24.9" customHeight="1" x14ac:dyDescent="0.25"/>
    <row r="425" ht="24.9" customHeight="1" x14ac:dyDescent="0.25"/>
    <row r="426" ht="24.9" customHeight="1" x14ac:dyDescent="0.25"/>
    <row r="427" ht="24.9" customHeight="1" x14ac:dyDescent="0.25"/>
    <row r="428" ht="24.9" customHeight="1" x14ac:dyDescent="0.25"/>
    <row r="429" ht="24.9" customHeight="1" x14ac:dyDescent="0.25"/>
    <row r="430" ht="24.9" customHeight="1" x14ac:dyDescent="0.25"/>
    <row r="431" ht="24.9" customHeight="1" x14ac:dyDescent="0.25"/>
    <row r="432" ht="24.9" customHeight="1" x14ac:dyDescent="0.25"/>
    <row r="433" ht="24.9" customHeight="1" x14ac:dyDescent="0.25"/>
    <row r="434" ht="24.9" customHeight="1" x14ac:dyDescent="0.25"/>
    <row r="435" ht="24.9" customHeight="1" x14ac:dyDescent="0.25"/>
    <row r="436" ht="24.9" customHeight="1" x14ac:dyDescent="0.25"/>
    <row r="437" ht="24.9" customHeight="1" x14ac:dyDescent="0.25"/>
    <row r="438" ht="24.9" customHeight="1" x14ac:dyDescent="0.25"/>
    <row r="439" ht="24.9" customHeight="1" x14ac:dyDescent="0.25"/>
    <row r="440" ht="24.9" customHeight="1" x14ac:dyDescent="0.25"/>
    <row r="441" ht="24.9" customHeight="1" x14ac:dyDescent="0.25"/>
    <row r="442" ht="24.9" customHeight="1" x14ac:dyDescent="0.25"/>
    <row r="443" ht="24.9" customHeight="1" x14ac:dyDescent="0.25"/>
    <row r="444" ht="24.9" customHeight="1" x14ac:dyDescent="0.25"/>
    <row r="445" ht="24.9" customHeight="1" x14ac:dyDescent="0.25"/>
    <row r="446" ht="24.9" customHeight="1" x14ac:dyDescent="0.25"/>
    <row r="447" ht="24.9" customHeight="1" x14ac:dyDescent="0.25"/>
    <row r="448" ht="24.9" customHeight="1" x14ac:dyDescent="0.25"/>
    <row r="449" ht="24.9" customHeight="1" x14ac:dyDescent="0.25"/>
    <row r="450" ht="24.9" customHeight="1" x14ac:dyDescent="0.25"/>
    <row r="451" ht="24.9" customHeight="1" x14ac:dyDescent="0.25"/>
    <row r="452" ht="24.9" customHeight="1" x14ac:dyDescent="0.25"/>
    <row r="453" ht="24.9" customHeight="1" x14ac:dyDescent="0.25"/>
    <row r="454" ht="24.9" customHeight="1" x14ac:dyDescent="0.25"/>
    <row r="455" ht="24.9" customHeight="1" x14ac:dyDescent="0.25"/>
    <row r="456" ht="24.9" customHeight="1" x14ac:dyDescent="0.25"/>
    <row r="457" ht="24.9" customHeight="1" x14ac:dyDescent="0.25"/>
    <row r="458" ht="24.9" customHeight="1" x14ac:dyDescent="0.25"/>
    <row r="459" ht="24.9" customHeight="1" x14ac:dyDescent="0.25"/>
    <row r="460" ht="24.9" customHeight="1" x14ac:dyDescent="0.25"/>
    <row r="461" ht="24.9" customHeight="1" x14ac:dyDescent="0.25"/>
    <row r="462" ht="24.9" customHeight="1" x14ac:dyDescent="0.25"/>
    <row r="463" ht="24.9" customHeight="1" x14ac:dyDescent="0.25"/>
    <row r="464" ht="24.9" customHeight="1" x14ac:dyDescent="0.25"/>
    <row r="465" ht="24.9" customHeight="1" x14ac:dyDescent="0.25"/>
    <row r="466" ht="24.9" customHeight="1" x14ac:dyDescent="0.25"/>
    <row r="467" ht="24.9" customHeight="1" x14ac:dyDescent="0.25"/>
    <row r="468" ht="24.9" customHeight="1" x14ac:dyDescent="0.25"/>
    <row r="469" ht="24.9" customHeight="1" x14ac:dyDescent="0.25"/>
    <row r="470" ht="24.9" customHeight="1" x14ac:dyDescent="0.25"/>
    <row r="471" ht="24.9" customHeight="1" x14ac:dyDescent="0.25"/>
    <row r="472" ht="24.9" customHeight="1" x14ac:dyDescent="0.25"/>
    <row r="473" ht="24.9" customHeight="1" x14ac:dyDescent="0.25"/>
    <row r="474" ht="24.9" customHeight="1" x14ac:dyDescent="0.25"/>
    <row r="475" ht="24.9" customHeight="1" x14ac:dyDescent="0.25"/>
    <row r="476" ht="24.9" customHeight="1" x14ac:dyDescent="0.25"/>
    <row r="477" ht="24.9" customHeight="1" x14ac:dyDescent="0.25"/>
    <row r="478" ht="24.9" customHeight="1" x14ac:dyDescent="0.25"/>
    <row r="479" ht="24.9" customHeight="1" x14ac:dyDescent="0.25"/>
    <row r="480" ht="24.9" customHeight="1" x14ac:dyDescent="0.25"/>
    <row r="481" ht="24.9" customHeight="1" x14ac:dyDescent="0.25"/>
    <row r="482" ht="24.9" customHeight="1" x14ac:dyDescent="0.25"/>
    <row r="483" ht="24.9" customHeight="1" x14ac:dyDescent="0.25"/>
    <row r="484" ht="24.9" customHeight="1" x14ac:dyDescent="0.25"/>
    <row r="485" ht="24.9" customHeight="1" x14ac:dyDescent="0.25"/>
    <row r="486" ht="24.9" customHeight="1" x14ac:dyDescent="0.25"/>
    <row r="487" ht="24.9" customHeight="1" x14ac:dyDescent="0.25"/>
    <row r="488" ht="24.9" customHeight="1" x14ac:dyDescent="0.25"/>
    <row r="489" ht="24.9" customHeight="1" x14ac:dyDescent="0.25"/>
    <row r="490" ht="24.9" customHeight="1" x14ac:dyDescent="0.25"/>
  </sheetData>
  <mergeCells count="151">
    <mergeCell ref="B299:B300"/>
    <mergeCell ref="B261:B264"/>
    <mergeCell ref="B281:B284"/>
    <mergeCell ref="B259:B260"/>
    <mergeCell ref="B250:B253"/>
    <mergeCell ref="B270:B273"/>
    <mergeCell ref="B274:B275"/>
    <mergeCell ref="B279:B280"/>
    <mergeCell ref="B285:B286"/>
    <mergeCell ref="B290:B293"/>
    <mergeCell ref="B294:B295"/>
    <mergeCell ref="B316:B318"/>
    <mergeCell ref="B336:B338"/>
    <mergeCell ref="B345:B346"/>
    <mergeCell ref="B305:B306"/>
    <mergeCell ref="B310:B313"/>
    <mergeCell ref="B314:B315"/>
    <mergeCell ref="B319:B320"/>
    <mergeCell ref="B330:B333"/>
    <mergeCell ref="B334:B335"/>
    <mergeCell ref="B339:B340"/>
    <mergeCell ref="B102:C103"/>
    <mergeCell ref="B144:C145"/>
    <mergeCell ref="A146:A163"/>
    <mergeCell ref="B146:B149"/>
    <mergeCell ref="C146:C147"/>
    <mergeCell ref="A230:A245"/>
    <mergeCell ref="A270:A285"/>
    <mergeCell ref="A290:A305"/>
    <mergeCell ref="A310:A325"/>
    <mergeCell ref="B248:C249"/>
    <mergeCell ref="C250:C251"/>
    <mergeCell ref="B256:B258"/>
    <mergeCell ref="B165:C166"/>
    <mergeCell ref="A167:A184"/>
    <mergeCell ref="B167:B170"/>
    <mergeCell ref="C167:C168"/>
    <mergeCell ref="B171:B172"/>
    <mergeCell ref="B265:B266"/>
    <mergeCell ref="B325:B326"/>
    <mergeCell ref="B150:B151"/>
    <mergeCell ref="B152:B154"/>
    <mergeCell ref="B155:B156"/>
    <mergeCell ref="B157:B160"/>
    <mergeCell ref="B161:B163"/>
    <mergeCell ref="B71:B72"/>
    <mergeCell ref="B45:B46"/>
    <mergeCell ref="B47:B49"/>
    <mergeCell ref="B52:B55"/>
    <mergeCell ref="B56:B58"/>
    <mergeCell ref="B50:B51"/>
    <mergeCell ref="A41:A58"/>
    <mergeCell ref="B41:B44"/>
    <mergeCell ref="B60:C61"/>
    <mergeCell ref="A83:A100"/>
    <mergeCell ref="B83:B86"/>
    <mergeCell ref="C83:C84"/>
    <mergeCell ref="B87:B88"/>
    <mergeCell ref="B89:B91"/>
    <mergeCell ref="B94:B97"/>
    <mergeCell ref="B98:B100"/>
    <mergeCell ref="B92:B93"/>
    <mergeCell ref="B73:B76"/>
    <mergeCell ref="B77:B79"/>
    <mergeCell ref="A5:A16"/>
    <mergeCell ref="B15:B16"/>
    <mergeCell ref="B24:B25"/>
    <mergeCell ref="B26:B28"/>
    <mergeCell ref="B3:C4"/>
    <mergeCell ref="B18:C19"/>
    <mergeCell ref="A20:A37"/>
    <mergeCell ref="B20:B23"/>
    <mergeCell ref="B31:B34"/>
    <mergeCell ref="B35:B37"/>
    <mergeCell ref="B29:B30"/>
    <mergeCell ref="C20:C21"/>
    <mergeCell ref="B9:B10"/>
    <mergeCell ref="B5:B7"/>
    <mergeCell ref="B12:B14"/>
    <mergeCell ref="B39:C40"/>
    <mergeCell ref="B113:B114"/>
    <mergeCell ref="B115:B118"/>
    <mergeCell ref="B119:B121"/>
    <mergeCell ref="B123:C124"/>
    <mergeCell ref="A125:A142"/>
    <mergeCell ref="B125:B128"/>
    <mergeCell ref="C125:C126"/>
    <mergeCell ref="B129:B130"/>
    <mergeCell ref="B131:B133"/>
    <mergeCell ref="B134:B135"/>
    <mergeCell ref="A104:A121"/>
    <mergeCell ref="B104:B107"/>
    <mergeCell ref="C104:C105"/>
    <mergeCell ref="B108:B109"/>
    <mergeCell ref="B110:B112"/>
    <mergeCell ref="B136:B139"/>
    <mergeCell ref="B140:B142"/>
    <mergeCell ref="A62:A79"/>
    <mergeCell ref="B62:B65"/>
    <mergeCell ref="C62:C63"/>
    <mergeCell ref="B66:B67"/>
    <mergeCell ref="B68:B70"/>
    <mergeCell ref="C41:C42"/>
    <mergeCell ref="B173:B175"/>
    <mergeCell ref="B176:B177"/>
    <mergeCell ref="B178:B181"/>
    <mergeCell ref="B182:B184"/>
    <mergeCell ref="B2:D2"/>
    <mergeCell ref="B207:C208"/>
    <mergeCell ref="A209:A226"/>
    <mergeCell ref="B209:B212"/>
    <mergeCell ref="C209:C210"/>
    <mergeCell ref="B213:B214"/>
    <mergeCell ref="B215:B217"/>
    <mergeCell ref="B218:B219"/>
    <mergeCell ref="B220:B223"/>
    <mergeCell ref="B224:B226"/>
    <mergeCell ref="B186:C187"/>
    <mergeCell ref="A188:A205"/>
    <mergeCell ref="B188:B191"/>
    <mergeCell ref="C188:C189"/>
    <mergeCell ref="B192:B193"/>
    <mergeCell ref="B194:B196"/>
    <mergeCell ref="B197:B198"/>
    <mergeCell ref="B199:B202"/>
    <mergeCell ref="B203:B205"/>
    <mergeCell ref="B81:C82"/>
    <mergeCell ref="B245:B246"/>
    <mergeCell ref="B301:B304"/>
    <mergeCell ref="B321:B324"/>
    <mergeCell ref="B341:B344"/>
    <mergeCell ref="A248:A266"/>
    <mergeCell ref="B254:B255"/>
    <mergeCell ref="B228:C229"/>
    <mergeCell ref="B230:B233"/>
    <mergeCell ref="C230:C231"/>
    <mergeCell ref="B234:B235"/>
    <mergeCell ref="B236:B238"/>
    <mergeCell ref="B239:B240"/>
    <mergeCell ref="B241:B244"/>
    <mergeCell ref="A330:A345"/>
    <mergeCell ref="B328:C329"/>
    <mergeCell ref="C330:C331"/>
    <mergeCell ref="B308:C309"/>
    <mergeCell ref="C310:C311"/>
    <mergeCell ref="B288:C289"/>
    <mergeCell ref="C290:C291"/>
    <mergeCell ref="B268:C269"/>
    <mergeCell ref="C270:C271"/>
    <mergeCell ref="B276:B278"/>
    <mergeCell ref="B296:B298"/>
  </mergeCells>
  <phoneticPr fontId="0" type="noConversion"/>
  <pageMargins left="0" right="0" top="0" bottom="0" header="0" footer="0"/>
  <pageSetup paperSize="9" scale="85"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1"/>
  <sheetViews>
    <sheetView workbookViewId="0">
      <pane xSplit="1" topLeftCell="O1" activePane="topRight" state="frozen"/>
      <selection pane="topRight" activeCell="S5" sqref="S5:V11"/>
    </sheetView>
  </sheetViews>
  <sheetFormatPr baseColWidth="10" defaultRowHeight="13.2" x14ac:dyDescent="0.25"/>
  <cols>
    <col min="8" max="9" width="15.44140625" customWidth="1"/>
  </cols>
  <sheetData>
    <row r="1" spans="1:23" ht="28.2" customHeight="1" thickBot="1" x14ac:dyDescent="0.3"/>
    <row r="2" spans="1:23" ht="27" customHeight="1" thickBot="1" x14ac:dyDescent="0.3">
      <c r="A2" s="437" t="s">
        <v>72</v>
      </c>
    </row>
    <row r="3" spans="1:23" ht="27.6" customHeight="1" thickBot="1" x14ac:dyDescent="0.3">
      <c r="A3" s="124"/>
    </row>
    <row r="4" spans="1:23" ht="16.2" thickBot="1" x14ac:dyDescent="0.3">
      <c r="A4" s="437"/>
      <c r="B4" s="125"/>
      <c r="C4" s="185">
        <v>2008</v>
      </c>
      <c r="D4" s="185">
        <v>2009</v>
      </c>
      <c r="E4" s="185">
        <v>2010</v>
      </c>
      <c r="F4" s="185">
        <v>2011</v>
      </c>
      <c r="G4" s="185">
        <v>2012</v>
      </c>
      <c r="H4" s="186" t="s">
        <v>73</v>
      </c>
      <c r="I4" s="379"/>
      <c r="J4" s="185">
        <v>2013</v>
      </c>
      <c r="K4" s="185">
        <v>2014</v>
      </c>
      <c r="L4" s="185">
        <v>2015</v>
      </c>
      <c r="M4" s="185">
        <v>2016</v>
      </c>
      <c r="N4" s="185">
        <v>2017</v>
      </c>
      <c r="O4" s="185">
        <v>2018</v>
      </c>
      <c r="Q4" s="105">
        <v>2019</v>
      </c>
      <c r="R4" s="105">
        <v>2020</v>
      </c>
      <c r="S4" s="105">
        <v>2021</v>
      </c>
      <c r="T4" s="105">
        <v>2022</v>
      </c>
      <c r="U4" s="105">
        <v>2023</v>
      </c>
      <c r="V4" s="105">
        <v>2024</v>
      </c>
    </row>
    <row r="5" spans="1:23" ht="16.2" thickBot="1" x14ac:dyDescent="0.3">
      <c r="A5" s="127" t="s">
        <v>71</v>
      </c>
      <c r="B5" s="107"/>
      <c r="C5" s="107">
        <v>150</v>
      </c>
      <c r="D5" s="107">
        <v>150</v>
      </c>
      <c r="E5" s="107">
        <v>150</v>
      </c>
      <c r="F5" s="107">
        <v>150</v>
      </c>
      <c r="G5" s="107">
        <v>150</v>
      </c>
      <c r="H5" s="107"/>
      <c r="I5" s="373"/>
      <c r="J5" s="107">
        <v>150</v>
      </c>
      <c r="K5" s="107">
        <v>150</v>
      </c>
      <c r="L5" s="107">
        <v>150</v>
      </c>
      <c r="M5" s="107">
        <v>150</v>
      </c>
      <c r="N5" s="107">
        <v>150</v>
      </c>
      <c r="O5" s="107">
        <v>150</v>
      </c>
      <c r="Q5" s="107">
        <v>150</v>
      </c>
      <c r="R5" s="107">
        <v>150</v>
      </c>
      <c r="S5" s="107"/>
      <c r="T5" s="107"/>
      <c r="U5" s="107"/>
      <c r="V5" s="107"/>
    </row>
    <row r="6" spans="1:23" ht="50.25" customHeight="1" thickBot="1" x14ac:dyDescent="0.3">
      <c r="A6" s="1272" t="s">
        <v>24</v>
      </c>
      <c r="B6" s="108" t="s">
        <v>74</v>
      </c>
      <c r="C6" s="108">
        <v>150</v>
      </c>
      <c r="D6" s="108">
        <v>150</v>
      </c>
      <c r="E6" s="108">
        <v>150</v>
      </c>
      <c r="F6" s="108">
        <v>150</v>
      </c>
      <c r="G6" s="108">
        <v>150</v>
      </c>
      <c r="H6" s="187" t="s">
        <v>172</v>
      </c>
      <c r="I6" s="382"/>
      <c r="J6" s="108">
        <v>150</v>
      </c>
      <c r="K6" s="108">
        <v>150</v>
      </c>
      <c r="L6" s="108">
        <v>150</v>
      </c>
      <c r="M6" s="108">
        <v>150</v>
      </c>
      <c r="N6" s="108">
        <v>150</v>
      </c>
      <c r="O6" s="108">
        <v>150</v>
      </c>
      <c r="Q6" s="108">
        <v>150</v>
      </c>
      <c r="R6" s="108">
        <v>150</v>
      </c>
      <c r="S6" s="108"/>
      <c r="T6" s="108"/>
      <c r="U6" s="108"/>
      <c r="V6" s="108"/>
      <c r="W6" s="991"/>
    </row>
    <row r="7" spans="1:23" ht="53.25" customHeight="1" thickBot="1" x14ac:dyDescent="0.3">
      <c r="A7" s="1273"/>
      <c r="B7" s="108" t="s">
        <v>77</v>
      </c>
      <c r="C7" s="108">
        <v>50</v>
      </c>
      <c r="D7" s="108">
        <v>50</v>
      </c>
      <c r="E7" s="108">
        <v>50</v>
      </c>
      <c r="F7" s="108">
        <v>50</v>
      </c>
      <c r="G7" s="108">
        <v>50</v>
      </c>
      <c r="H7" s="187" t="s">
        <v>75</v>
      </c>
      <c r="I7" s="382"/>
      <c r="J7" s="108">
        <v>51</v>
      </c>
      <c r="K7" s="108">
        <v>52</v>
      </c>
      <c r="L7" s="108">
        <v>53</v>
      </c>
      <c r="M7" s="108">
        <v>54</v>
      </c>
      <c r="N7" s="108">
        <v>55</v>
      </c>
      <c r="O7" s="108">
        <v>56</v>
      </c>
      <c r="Q7" s="108">
        <v>56</v>
      </c>
      <c r="R7" s="108">
        <v>56</v>
      </c>
      <c r="S7" s="108"/>
      <c r="T7" s="108"/>
      <c r="U7" s="108"/>
      <c r="V7" s="108"/>
    </row>
    <row r="8" spans="1:23" ht="16.2" thickBot="1" x14ac:dyDescent="0.3">
      <c r="A8" s="127" t="s">
        <v>27</v>
      </c>
      <c r="B8" s="109"/>
      <c r="C8" s="109"/>
      <c r="D8" s="109">
        <v>70.7</v>
      </c>
      <c r="E8" s="109"/>
      <c r="F8" s="109">
        <v>73.599999999999994</v>
      </c>
      <c r="G8" s="182">
        <v>75</v>
      </c>
      <c r="H8" s="182"/>
      <c r="I8" s="377"/>
      <c r="J8" s="109">
        <v>74</v>
      </c>
      <c r="K8" s="109">
        <v>73</v>
      </c>
      <c r="L8" s="109">
        <v>72</v>
      </c>
      <c r="M8" s="109">
        <v>71</v>
      </c>
      <c r="N8" s="109">
        <v>70</v>
      </c>
      <c r="O8" s="109">
        <v>69</v>
      </c>
      <c r="Q8" s="109">
        <v>69</v>
      </c>
      <c r="R8" s="109"/>
      <c r="S8" s="109"/>
      <c r="T8" s="109"/>
      <c r="U8" s="109"/>
      <c r="V8" s="109"/>
    </row>
    <row r="9" spans="1:23" ht="16.2" thickBot="1" x14ac:dyDescent="0.3">
      <c r="A9" s="127" t="s">
        <v>26</v>
      </c>
      <c r="B9" s="183"/>
      <c r="C9" s="183"/>
      <c r="D9" s="183"/>
      <c r="E9" s="183"/>
      <c r="F9" s="183">
        <v>75</v>
      </c>
      <c r="G9" s="183">
        <v>75</v>
      </c>
      <c r="H9" s="183"/>
      <c r="I9" s="377"/>
      <c r="J9" s="110">
        <v>77.25</v>
      </c>
      <c r="K9" s="110">
        <v>79.567999999999998</v>
      </c>
      <c r="L9" s="110">
        <v>81.954999999999998</v>
      </c>
      <c r="M9" s="110">
        <v>84.414000000000001</v>
      </c>
      <c r="N9" s="110">
        <v>86.945999999999998</v>
      </c>
      <c r="O9" s="110">
        <v>89.554000000000002</v>
      </c>
      <c r="Q9" s="110">
        <v>80.599999999999994</v>
      </c>
      <c r="R9" s="110">
        <v>80.599999999999994</v>
      </c>
      <c r="S9" s="110"/>
      <c r="T9" s="110"/>
      <c r="U9" s="110"/>
      <c r="V9" s="110"/>
    </row>
    <row r="10" spans="1:23" ht="16.2" thickBot="1" x14ac:dyDescent="0.3">
      <c r="A10" s="127" t="s">
        <v>28</v>
      </c>
      <c r="B10" s="111"/>
      <c r="C10" s="111"/>
      <c r="D10" s="111"/>
      <c r="E10" s="111"/>
      <c r="F10" s="111">
        <v>150</v>
      </c>
      <c r="G10" s="111">
        <v>150</v>
      </c>
      <c r="H10" s="111"/>
      <c r="I10" s="373"/>
      <c r="J10" s="111"/>
      <c r="K10" s="111"/>
      <c r="L10" s="111"/>
      <c r="M10" s="111"/>
      <c r="N10" s="111"/>
      <c r="O10" s="111"/>
      <c r="Q10" s="111">
        <v>150</v>
      </c>
      <c r="R10" s="111">
        <v>150</v>
      </c>
      <c r="S10" s="111"/>
      <c r="T10" s="111"/>
      <c r="U10" s="111"/>
      <c r="V10" s="111"/>
    </row>
    <row r="11" spans="1:23" ht="16.2" thickBot="1" x14ac:dyDescent="0.3">
      <c r="A11" s="127" t="s">
        <v>76</v>
      </c>
      <c r="B11" s="112"/>
      <c r="C11" s="112"/>
      <c r="D11" s="112"/>
      <c r="E11" s="112"/>
      <c r="F11" s="112">
        <v>150</v>
      </c>
      <c r="G11" s="112">
        <v>150</v>
      </c>
      <c r="H11" s="112"/>
      <c r="I11" s="373"/>
      <c r="J11" s="112">
        <v>150</v>
      </c>
      <c r="K11" s="112">
        <v>150</v>
      </c>
      <c r="L11" s="112">
        <v>150</v>
      </c>
      <c r="M11" s="112">
        <v>150</v>
      </c>
      <c r="N11" s="112">
        <v>150</v>
      </c>
      <c r="O11" s="112">
        <v>150</v>
      </c>
      <c r="Q11" s="112">
        <v>150</v>
      </c>
      <c r="R11" s="112">
        <v>150</v>
      </c>
      <c r="S11" s="112"/>
      <c r="T11" s="112"/>
      <c r="U11" s="112"/>
      <c r="V11" s="112"/>
    </row>
  </sheetData>
  <mergeCells count="1">
    <mergeCell ref="A6:A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Q46"/>
  <sheetViews>
    <sheetView zoomScale="70" zoomScaleNormal="70" workbookViewId="0">
      <pane xSplit="2" ySplit="3" topLeftCell="BI43" activePane="bottomRight" state="frozen"/>
      <selection pane="topRight" activeCell="C1" sqref="C1"/>
      <selection pane="bottomLeft" activeCell="A4" sqref="A4"/>
      <selection pane="bottomRight" activeCell="BJ29" sqref="BJ29"/>
    </sheetView>
  </sheetViews>
  <sheetFormatPr baseColWidth="10" defaultRowHeight="13.2" x14ac:dyDescent="0.25"/>
  <cols>
    <col min="2" max="2" width="15.88671875" customWidth="1"/>
    <col min="5" max="5" width="8.5546875" customWidth="1"/>
    <col min="6" max="6" width="51.33203125" customWidth="1"/>
    <col min="7" max="7" width="23" customWidth="1"/>
    <col min="8" max="8" width="8.109375" customWidth="1"/>
    <col min="9" max="9" width="18.6640625" style="447" customWidth="1"/>
    <col min="10" max="10" width="45.5546875" customWidth="1"/>
    <col min="11" max="11" width="6.5546875" customWidth="1"/>
    <col min="12" max="12" width="5.88671875" customWidth="1"/>
    <col min="13" max="13" width="6.88671875" customWidth="1"/>
    <col min="14" max="14" width="6.44140625" customWidth="1"/>
    <col min="15" max="15" width="6.5546875" customWidth="1"/>
    <col min="16" max="16" width="5.88671875" customWidth="1"/>
    <col min="17" max="17" width="6.88671875" customWidth="1"/>
    <col min="18" max="18" width="6.44140625" customWidth="1"/>
    <col min="19" max="19" width="6.5546875" customWidth="1"/>
    <col min="20" max="20" width="5.88671875" customWidth="1"/>
    <col min="21" max="21" width="6.88671875" customWidth="1"/>
    <col min="22" max="22" width="6.44140625" customWidth="1"/>
    <col min="23" max="23" width="6.5546875" customWidth="1"/>
    <col min="24" max="24" width="5.88671875" customWidth="1"/>
    <col min="25" max="25" width="6.88671875" customWidth="1"/>
    <col min="26" max="26" width="6.44140625" customWidth="1"/>
    <col min="27" max="27" width="6.88671875" customWidth="1"/>
    <col min="28" max="28" width="5.88671875" customWidth="1"/>
    <col min="29" max="29" width="6.88671875" customWidth="1"/>
    <col min="30" max="30" width="6.44140625" customWidth="1"/>
    <col min="31" max="31" width="6.5546875" customWidth="1"/>
    <col min="32" max="32" width="5.88671875" style="468" customWidth="1"/>
    <col min="33" max="33" width="6.88671875" customWidth="1"/>
    <col min="34" max="35" width="6.44140625" customWidth="1"/>
    <col min="36" max="36" width="45.5546875" customWidth="1"/>
    <col min="37" max="37" width="6.6640625" customWidth="1"/>
    <col min="38" max="61" width="7.88671875" customWidth="1"/>
    <col min="62" max="62" width="10.88671875" customWidth="1"/>
    <col min="63" max="63" width="10.77734375" customWidth="1"/>
    <col min="64" max="64" width="11.109375" customWidth="1"/>
    <col min="65" max="65" width="23.44140625" customWidth="1"/>
  </cols>
  <sheetData>
    <row r="1" spans="1:69" ht="31.8" customHeight="1" thickBot="1" x14ac:dyDescent="0.3">
      <c r="A1" s="3"/>
      <c r="B1" s="13"/>
      <c r="C1" s="3"/>
      <c r="D1" s="3"/>
      <c r="E1" s="3"/>
      <c r="F1" s="3"/>
      <c r="G1" s="3"/>
      <c r="H1" s="3"/>
      <c r="I1" s="442"/>
      <c r="J1" s="3"/>
      <c r="K1" s="3"/>
      <c r="L1" s="3"/>
      <c r="M1" s="3"/>
      <c r="N1" s="3"/>
      <c r="O1" s="3"/>
      <c r="P1" s="3"/>
      <c r="Q1" s="3"/>
      <c r="R1" s="3"/>
      <c r="S1" s="3"/>
      <c r="T1" s="3"/>
      <c r="U1" s="3"/>
      <c r="V1" s="3"/>
      <c r="W1" s="3"/>
      <c r="X1" s="3"/>
      <c r="Y1" s="3"/>
      <c r="Z1" s="3"/>
      <c r="AA1" s="3"/>
      <c r="AB1" s="3"/>
      <c r="AC1" s="3"/>
      <c r="AD1" s="3"/>
      <c r="AE1" s="3"/>
      <c r="AF1" s="7"/>
      <c r="AG1" s="3"/>
      <c r="AH1" s="3"/>
      <c r="AI1" s="3"/>
      <c r="AJ1" s="3"/>
      <c r="AK1" s="3"/>
      <c r="BH1" s="1157" t="s">
        <v>272</v>
      </c>
      <c r="BM1" s="1086" t="s">
        <v>270</v>
      </c>
      <c r="BN1" s="1228" t="s">
        <v>260</v>
      </c>
      <c r="BO1" s="1229"/>
      <c r="BP1" s="1228" t="s">
        <v>261</v>
      </c>
      <c r="BQ1" s="1229"/>
    </row>
    <row r="2" spans="1:69" ht="18.75" customHeight="1" thickBot="1" x14ac:dyDescent="0.3">
      <c r="A2" s="778" t="s">
        <v>161</v>
      </c>
      <c r="B2" s="779"/>
      <c r="C2" s="39">
        <v>2011</v>
      </c>
      <c r="D2" s="56">
        <v>2012</v>
      </c>
      <c r="E2" s="1274" t="s">
        <v>78</v>
      </c>
      <c r="F2" s="1275"/>
      <c r="G2" s="1"/>
      <c r="H2" s="1"/>
      <c r="I2" s="443"/>
      <c r="J2" s="1"/>
      <c r="K2" s="1294">
        <v>2013</v>
      </c>
      <c r="L2" s="1295"/>
      <c r="M2" s="1295"/>
      <c r="N2" s="1296"/>
      <c r="O2" s="1294">
        <v>2014</v>
      </c>
      <c r="P2" s="1295"/>
      <c r="Q2" s="1295"/>
      <c r="R2" s="1296"/>
      <c r="S2" s="1294">
        <v>2015</v>
      </c>
      <c r="T2" s="1295"/>
      <c r="U2" s="1295"/>
      <c r="V2" s="1296"/>
      <c r="W2" s="1294">
        <v>2016</v>
      </c>
      <c r="X2" s="1295"/>
      <c r="Y2" s="1295"/>
      <c r="Z2" s="1296"/>
      <c r="AA2" s="1294">
        <v>2017</v>
      </c>
      <c r="AB2" s="1295"/>
      <c r="AC2" s="1295"/>
      <c r="AD2" s="1296"/>
      <c r="AE2" s="1294">
        <v>2018</v>
      </c>
      <c r="AF2" s="1295"/>
      <c r="AG2" s="1295"/>
      <c r="AH2" s="1296"/>
      <c r="AI2" s="2"/>
      <c r="AJ2" s="1"/>
      <c r="AK2" s="1"/>
      <c r="AL2" s="1248">
        <v>2019</v>
      </c>
      <c r="AM2" s="1247"/>
      <c r="AN2" s="1247"/>
      <c r="AO2" s="1249"/>
      <c r="AP2" s="1248">
        <v>2020</v>
      </c>
      <c r="AQ2" s="1247"/>
      <c r="AR2" s="1247"/>
      <c r="AS2" s="1249"/>
      <c r="AT2" s="1247">
        <v>2021</v>
      </c>
      <c r="AU2" s="1247"/>
      <c r="AV2" s="1247"/>
      <c r="AW2" s="1247"/>
      <c r="AX2" s="1248">
        <v>2022</v>
      </c>
      <c r="AY2" s="1247"/>
      <c r="AZ2" s="1247"/>
      <c r="BA2" s="1249"/>
      <c r="BB2" s="1247">
        <v>2023</v>
      </c>
      <c r="BC2" s="1247"/>
      <c r="BD2" s="1247"/>
      <c r="BE2" s="1247"/>
      <c r="BF2" s="1248">
        <v>2024</v>
      </c>
      <c r="BG2" s="1247"/>
      <c r="BH2" s="1247"/>
      <c r="BI2" s="1249"/>
      <c r="BJ2" s="2"/>
      <c r="BK2" s="2"/>
      <c r="BM2" s="1087" t="s">
        <v>271</v>
      </c>
      <c r="BN2" s="1083" t="s">
        <v>262</v>
      </c>
      <c r="BO2" s="1083" t="s">
        <v>263</v>
      </c>
      <c r="BP2" s="1083" t="s">
        <v>262</v>
      </c>
      <c r="BQ2" s="1083" t="s">
        <v>263</v>
      </c>
    </row>
    <row r="3" spans="1:69" ht="55.2" customHeight="1" thickBot="1" x14ac:dyDescent="0.3">
      <c r="A3" s="235"/>
      <c r="B3" s="100"/>
      <c r="C3" s="236"/>
      <c r="D3" s="241"/>
      <c r="E3" s="1276"/>
      <c r="F3" s="1277"/>
      <c r="G3" s="1"/>
      <c r="H3" s="1"/>
      <c r="I3" s="443"/>
      <c r="J3" s="443" t="s">
        <v>189</v>
      </c>
      <c r="K3" s="317" t="s">
        <v>31</v>
      </c>
      <c r="L3" s="318" t="s">
        <v>33</v>
      </c>
      <c r="M3" s="318" t="s">
        <v>68</v>
      </c>
      <c r="N3" s="319" t="s">
        <v>15</v>
      </c>
      <c r="O3" s="317" t="s">
        <v>31</v>
      </c>
      <c r="P3" s="318" t="s">
        <v>33</v>
      </c>
      <c r="Q3" s="318" t="s">
        <v>68</v>
      </c>
      <c r="R3" s="319" t="s">
        <v>15</v>
      </c>
      <c r="S3" s="317" t="s">
        <v>31</v>
      </c>
      <c r="T3" s="318" t="s">
        <v>33</v>
      </c>
      <c r="U3" s="318" t="s">
        <v>68</v>
      </c>
      <c r="V3" s="319" t="s">
        <v>15</v>
      </c>
      <c r="W3" s="317" t="s">
        <v>31</v>
      </c>
      <c r="X3" s="318" t="s">
        <v>33</v>
      </c>
      <c r="Y3" s="318" t="s">
        <v>68</v>
      </c>
      <c r="Z3" s="319" t="s">
        <v>15</v>
      </c>
      <c r="AA3" s="317" t="s">
        <v>31</v>
      </c>
      <c r="AB3" s="318" t="s">
        <v>33</v>
      </c>
      <c r="AC3" s="318" t="s">
        <v>68</v>
      </c>
      <c r="AD3" s="319" t="s">
        <v>15</v>
      </c>
      <c r="AE3" s="317" t="s">
        <v>31</v>
      </c>
      <c r="AF3" s="690" t="s">
        <v>33</v>
      </c>
      <c r="AG3" s="318" t="s">
        <v>68</v>
      </c>
      <c r="AH3" s="319" t="s">
        <v>15</v>
      </c>
      <c r="AI3" s="825"/>
      <c r="AJ3" s="443" t="s">
        <v>189</v>
      </c>
      <c r="AK3" s="443"/>
      <c r="AL3" s="317" t="s">
        <v>31</v>
      </c>
      <c r="AM3" s="318" t="s">
        <v>33</v>
      </c>
      <c r="AN3" s="318" t="s">
        <v>68</v>
      </c>
      <c r="AO3" s="319" t="s">
        <v>15</v>
      </c>
      <c r="AP3" s="317" t="s">
        <v>31</v>
      </c>
      <c r="AQ3" s="318" t="s">
        <v>33</v>
      </c>
      <c r="AR3" s="318" t="s">
        <v>68</v>
      </c>
      <c r="AS3" s="319" t="s">
        <v>15</v>
      </c>
      <c r="AT3" s="317" t="s">
        <v>31</v>
      </c>
      <c r="AU3" s="318" t="s">
        <v>33</v>
      </c>
      <c r="AV3" s="318" t="s">
        <v>68</v>
      </c>
      <c r="AW3" s="319" t="s">
        <v>15</v>
      </c>
      <c r="AX3" s="317" t="s">
        <v>31</v>
      </c>
      <c r="AY3" s="318" t="s">
        <v>33</v>
      </c>
      <c r="AZ3" s="318" t="s">
        <v>68</v>
      </c>
      <c r="BA3" s="319" t="s">
        <v>15</v>
      </c>
      <c r="BB3" s="317" t="s">
        <v>31</v>
      </c>
      <c r="BC3" s="318" t="s">
        <v>33</v>
      </c>
      <c r="BD3" s="318" t="s">
        <v>68</v>
      </c>
      <c r="BE3" s="319" t="s">
        <v>15</v>
      </c>
      <c r="BF3" s="317" t="s">
        <v>31</v>
      </c>
      <c r="BG3" s="690" t="s">
        <v>33</v>
      </c>
      <c r="BH3" s="318" t="s">
        <v>68</v>
      </c>
      <c r="BI3" s="319" t="s">
        <v>15</v>
      </c>
      <c r="BJ3" s="825" t="s">
        <v>31</v>
      </c>
      <c r="BK3" s="825" t="s">
        <v>15</v>
      </c>
      <c r="BM3" s="1084" t="s">
        <v>268</v>
      </c>
      <c r="BN3" s="1085">
        <v>0.53</v>
      </c>
      <c r="BO3" s="1085">
        <v>0.95</v>
      </c>
      <c r="BP3" s="1085">
        <v>1.06</v>
      </c>
      <c r="BQ3" s="1085">
        <v>1.9</v>
      </c>
    </row>
    <row r="4" spans="1:69" s="3" customFormat="1" ht="14.25" customHeight="1" x14ac:dyDescent="0.25">
      <c r="A4" s="1285" t="s">
        <v>71</v>
      </c>
      <c r="B4" s="129" t="s">
        <v>34</v>
      </c>
      <c r="C4" s="130">
        <v>0.18099999999999999</v>
      </c>
      <c r="D4" s="131">
        <v>0.18099999999999999</v>
      </c>
      <c r="E4" s="1292" t="s">
        <v>79</v>
      </c>
      <c r="F4" s="1293"/>
      <c r="G4" s="132"/>
      <c r="H4" s="132"/>
      <c r="I4" s="444"/>
      <c r="J4" s="132"/>
      <c r="K4" s="314">
        <v>0.22</v>
      </c>
      <c r="L4" s="315"/>
      <c r="M4" s="315">
        <v>0.22</v>
      </c>
      <c r="N4" s="316"/>
      <c r="O4" s="314">
        <v>0.23</v>
      </c>
      <c r="P4" s="315"/>
      <c r="Q4" s="315">
        <v>0.26</v>
      </c>
      <c r="R4" s="316"/>
      <c r="S4" s="314">
        <v>0.24</v>
      </c>
      <c r="T4" s="315"/>
      <c r="U4" s="315">
        <v>0.31</v>
      </c>
      <c r="V4" s="316"/>
      <c r="W4" s="314">
        <v>0.25</v>
      </c>
      <c r="X4" s="315"/>
      <c r="Y4" s="315">
        <v>0.38</v>
      </c>
      <c r="Z4" s="316"/>
      <c r="AA4" s="314">
        <v>0.26</v>
      </c>
      <c r="AB4" s="315"/>
      <c r="AC4" s="315">
        <v>0.45</v>
      </c>
      <c r="AD4" s="316"/>
      <c r="AE4" s="314">
        <v>0.28000000000000003</v>
      </c>
      <c r="AF4" s="691"/>
      <c r="AG4" s="315">
        <v>0.45</v>
      </c>
      <c r="AH4" s="316"/>
      <c r="AI4" s="826"/>
      <c r="AJ4" s="132"/>
      <c r="AK4" s="132"/>
      <c r="AL4" s="314">
        <v>0.28000000000000003</v>
      </c>
      <c r="AM4" s="315"/>
      <c r="AN4" s="315"/>
      <c r="AO4" s="316">
        <v>0.52</v>
      </c>
      <c r="AP4" s="314">
        <v>0.28000000000000003</v>
      </c>
      <c r="AQ4" s="315"/>
      <c r="AR4" s="315"/>
      <c r="AS4" s="316">
        <v>0.52</v>
      </c>
      <c r="AT4" s="314">
        <v>0.28000000000000003</v>
      </c>
      <c r="AU4" s="315"/>
      <c r="AV4" s="315"/>
      <c r="AW4" s="316">
        <v>0.52</v>
      </c>
      <c r="AX4" s="314">
        <v>0.28000000000000003</v>
      </c>
      <c r="AY4" s="315"/>
      <c r="AZ4" s="315"/>
      <c r="BA4" s="316">
        <v>0.52</v>
      </c>
      <c r="BB4" s="314">
        <v>0.28000000000000003</v>
      </c>
      <c r="BC4" s="315"/>
      <c r="BD4" s="315"/>
      <c r="BE4" s="316">
        <v>0.52</v>
      </c>
      <c r="BF4" s="1102">
        <v>0.28000000000000003</v>
      </c>
      <c r="BG4" s="1103"/>
      <c r="BH4" s="1103"/>
      <c r="BI4" s="1104">
        <v>0.52</v>
      </c>
      <c r="BJ4" s="1159">
        <f>+(BN3-BF4)/BF4</f>
        <v>0.89285714285714279</v>
      </c>
      <c r="BK4" s="1159">
        <f>+(BP3-BI4)/BI4</f>
        <v>1.0384615384615385</v>
      </c>
      <c r="BL4" s="758"/>
    </row>
    <row r="5" spans="1:69" s="3" customFormat="1" ht="30.75" customHeight="1" x14ac:dyDescent="0.25">
      <c r="A5" s="1286"/>
      <c r="B5" s="133" t="s">
        <v>35</v>
      </c>
      <c r="C5" s="134">
        <v>0.26</v>
      </c>
      <c r="D5" s="135">
        <v>0.26</v>
      </c>
      <c r="E5" s="194" t="s">
        <v>80</v>
      </c>
      <c r="F5" s="195" t="s">
        <v>81</v>
      </c>
      <c r="G5" s="132"/>
      <c r="H5" s="132"/>
      <c r="I5" s="444"/>
      <c r="J5" s="132"/>
      <c r="K5" s="198">
        <v>0.26</v>
      </c>
      <c r="L5" s="134"/>
      <c r="M5" s="134">
        <v>0.31</v>
      </c>
      <c r="N5" s="135"/>
      <c r="O5" s="198">
        <v>0.23</v>
      </c>
      <c r="P5" s="134"/>
      <c r="Q5" s="134">
        <v>0.36</v>
      </c>
      <c r="R5" s="135"/>
      <c r="S5" s="198">
        <v>0.24</v>
      </c>
      <c r="T5" s="134"/>
      <c r="U5" s="134">
        <v>0.4</v>
      </c>
      <c r="V5" s="135"/>
      <c r="W5" s="198">
        <v>0.25</v>
      </c>
      <c r="X5" s="134"/>
      <c r="Y5" s="134">
        <v>0.43</v>
      </c>
      <c r="Z5" s="135"/>
      <c r="AA5" s="198">
        <v>0.26</v>
      </c>
      <c r="AB5" s="134"/>
      <c r="AC5" s="134">
        <v>0.45</v>
      </c>
      <c r="AD5" s="135"/>
      <c r="AE5" s="198">
        <v>0.28000000000000003</v>
      </c>
      <c r="AF5" s="692"/>
      <c r="AG5" s="134">
        <v>0.45</v>
      </c>
      <c r="AH5" s="135"/>
      <c r="AI5" s="827"/>
      <c r="AJ5" s="132"/>
      <c r="AK5" s="132"/>
      <c r="AL5" s="198"/>
      <c r="AM5" s="134"/>
      <c r="AN5" s="134"/>
      <c r="AO5" s="135"/>
      <c r="AP5" s="198"/>
      <c r="AQ5" s="134"/>
      <c r="AR5" s="134"/>
      <c r="AS5" s="135"/>
      <c r="AT5" s="198"/>
      <c r="AU5" s="134"/>
      <c r="AV5" s="134"/>
      <c r="AW5" s="135"/>
      <c r="AX5" s="198"/>
      <c r="AY5" s="134"/>
      <c r="AZ5" s="134"/>
      <c r="BA5" s="135"/>
      <c r="BB5" s="198"/>
      <c r="BC5" s="134"/>
      <c r="BD5" s="134"/>
      <c r="BE5" s="135"/>
      <c r="BF5" s="1105"/>
      <c r="BG5" s="1106"/>
      <c r="BH5" s="1106"/>
      <c r="BI5" s="1107"/>
      <c r="BJ5" s="1160"/>
      <c r="BK5" s="1160"/>
      <c r="BL5" s="758"/>
      <c r="BM5"/>
      <c r="BN5"/>
      <c r="BO5"/>
      <c r="BP5"/>
      <c r="BQ5"/>
    </row>
    <row r="6" spans="1:69" s="3" customFormat="1" ht="15" customHeight="1" x14ac:dyDescent="0.25">
      <c r="A6" s="1286"/>
      <c r="B6" s="133" t="s">
        <v>36</v>
      </c>
      <c r="C6" s="136">
        <v>0.3</v>
      </c>
      <c r="D6" s="137">
        <v>0.3</v>
      </c>
      <c r="E6" s="1251" t="s">
        <v>82</v>
      </c>
      <c r="F6" s="1289" t="s">
        <v>83</v>
      </c>
      <c r="G6" s="132"/>
      <c r="H6" s="132"/>
      <c r="I6" s="444"/>
      <c r="J6" s="132"/>
      <c r="K6" s="199"/>
      <c r="L6" s="136">
        <v>0.31</v>
      </c>
      <c r="M6" s="136">
        <v>0.35</v>
      </c>
      <c r="N6" s="137"/>
      <c r="O6" s="199"/>
      <c r="P6" s="136">
        <v>0.31</v>
      </c>
      <c r="Q6" s="136">
        <v>0.36</v>
      </c>
      <c r="R6" s="137"/>
      <c r="S6" s="199"/>
      <c r="T6" s="136">
        <v>0.32</v>
      </c>
      <c r="U6" s="136">
        <v>0.4</v>
      </c>
      <c r="V6" s="137"/>
      <c r="W6" s="199"/>
      <c r="X6" s="136">
        <v>0.33</v>
      </c>
      <c r="Y6" s="136">
        <v>0.43</v>
      </c>
      <c r="Z6" s="137"/>
      <c r="AA6" s="199"/>
      <c r="AB6" s="136">
        <v>0.34</v>
      </c>
      <c r="AC6" s="136">
        <v>0.45</v>
      </c>
      <c r="AD6" s="137"/>
      <c r="AE6" s="199"/>
      <c r="AF6" s="692">
        <v>0.34</v>
      </c>
      <c r="AG6" s="136">
        <v>0.45</v>
      </c>
      <c r="AH6" s="137"/>
      <c r="AI6" s="828"/>
      <c r="AJ6" s="132"/>
      <c r="AK6" s="132"/>
      <c r="AL6" s="199"/>
      <c r="AM6" s="136">
        <v>0.39</v>
      </c>
      <c r="AN6" s="136"/>
      <c r="AO6" s="316">
        <v>0.52</v>
      </c>
      <c r="AP6" s="199"/>
      <c r="AQ6" s="136">
        <v>0.39</v>
      </c>
      <c r="AR6" s="136"/>
      <c r="AS6" s="316">
        <v>0.52</v>
      </c>
      <c r="AT6" s="199"/>
      <c r="AU6" s="136">
        <v>0.39</v>
      </c>
      <c r="AV6" s="136"/>
      <c r="AW6" s="316">
        <v>0.52</v>
      </c>
      <c r="AX6" s="199"/>
      <c r="AY6" s="136">
        <v>0.39</v>
      </c>
      <c r="AZ6" s="136"/>
      <c r="BA6" s="316">
        <v>0.52</v>
      </c>
      <c r="BB6" s="199"/>
      <c r="BC6" s="136">
        <v>0.39</v>
      </c>
      <c r="BD6" s="136"/>
      <c r="BE6" s="316">
        <v>0.52</v>
      </c>
      <c r="BF6" s="1108"/>
      <c r="BG6" s="1109">
        <v>0.39</v>
      </c>
      <c r="BH6" s="1109"/>
      <c r="BI6" s="1104">
        <v>0.52</v>
      </c>
      <c r="BJ6" s="1159">
        <f>+(BN3-BG6)/BG6</f>
        <v>0.35897435897435898</v>
      </c>
      <c r="BK6" s="1159">
        <f>+(BP3-BI6)/BI6</f>
        <v>1.0384615384615385</v>
      </c>
      <c r="BL6" s="758"/>
      <c r="BM6"/>
      <c r="BN6"/>
      <c r="BO6"/>
      <c r="BP6"/>
      <c r="BQ6"/>
    </row>
    <row r="7" spans="1:69" s="3" customFormat="1" ht="15" customHeight="1" x14ac:dyDescent="0.25">
      <c r="A7" s="1286"/>
      <c r="B7" s="138" t="s">
        <v>37</v>
      </c>
      <c r="C7" s="136">
        <v>0.35</v>
      </c>
      <c r="D7" s="137">
        <v>0.35</v>
      </c>
      <c r="E7" s="1252"/>
      <c r="F7" s="1289"/>
      <c r="G7" s="139"/>
      <c r="H7" s="139"/>
      <c r="I7" s="445"/>
      <c r="J7" s="139"/>
      <c r="K7" s="199"/>
      <c r="L7" s="136">
        <v>0.31</v>
      </c>
      <c r="M7" s="136">
        <v>0.35</v>
      </c>
      <c r="N7" s="137"/>
      <c r="O7" s="199"/>
      <c r="P7" s="136">
        <v>0.31</v>
      </c>
      <c r="Q7" s="136" t="s">
        <v>147</v>
      </c>
      <c r="R7" s="137"/>
      <c r="S7" s="199"/>
      <c r="T7" s="136">
        <v>0.32</v>
      </c>
      <c r="U7" s="136">
        <v>0.4</v>
      </c>
      <c r="V7" s="137"/>
      <c r="W7" s="199"/>
      <c r="X7" s="136">
        <v>0.33</v>
      </c>
      <c r="Y7" s="136">
        <v>0.43</v>
      </c>
      <c r="Z7" s="137"/>
      <c r="AA7" s="199"/>
      <c r="AB7" s="136">
        <v>0.34</v>
      </c>
      <c r="AC7" s="136">
        <v>0.45</v>
      </c>
      <c r="AD7" s="137"/>
      <c r="AE7" s="199"/>
      <c r="AF7" s="692">
        <v>0.34</v>
      </c>
      <c r="AG7" s="136">
        <v>0.45</v>
      </c>
      <c r="AH7" s="137"/>
      <c r="AI7" s="828"/>
      <c r="AJ7" s="139"/>
      <c r="AK7" s="139"/>
      <c r="AL7" s="199"/>
      <c r="AM7" s="136"/>
      <c r="AN7" s="136"/>
      <c r="AO7" s="137"/>
      <c r="AP7" s="199"/>
      <c r="AQ7" s="136"/>
      <c r="AR7" s="136"/>
      <c r="AS7" s="137"/>
      <c r="AT7" s="199"/>
      <c r="AU7" s="136"/>
      <c r="AV7" s="136"/>
      <c r="AW7" s="137"/>
      <c r="AX7" s="199"/>
      <c r="AY7" s="136"/>
      <c r="AZ7" s="136"/>
      <c r="BA7" s="137"/>
      <c r="BB7" s="199"/>
      <c r="BC7" s="136"/>
      <c r="BD7" s="136"/>
      <c r="BE7" s="137"/>
      <c r="BF7" s="199"/>
      <c r="BG7" s="136"/>
      <c r="BH7" s="136"/>
      <c r="BI7" s="137"/>
      <c r="BJ7" s="1174"/>
      <c r="BK7" s="1174"/>
      <c r="BL7" s="758"/>
      <c r="BM7"/>
      <c r="BN7"/>
      <c r="BO7"/>
      <c r="BP7"/>
      <c r="BQ7"/>
    </row>
    <row r="8" spans="1:69" s="3" customFormat="1" ht="15" customHeight="1" thickBot="1" x14ac:dyDescent="0.3">
      <c r="A8" s="1287"/>
      <c r="B8" s="140" t="s">
        <v>145</v>
      </c>
      <c r="C8" s="136">
        <v>0.35</v>
      </c>
      <c r="D8" s="137">
        <v>0.35</v>
      </c>
      <c r="E8" s="1252"/>
      <c r="F8" s="1289"/>
      <c r="G8" s="139"/>
      <c r="H8" s="139"/>
      <c r="I8" s="445"/>
      <c r="J8" s="139"/>
      <c r="K8" s="199"/>
      <c r="L8" s="136"/>
      <c r="M8" s="136"/>
      <c r="N8" s="137">
        <v>0.4</v>
      </c>
      <c r="O8" s="199"/>
      <c r="P8" s="136"/>
      <c r="Q8" s="136"/>
      <c r="R8" s="137">
        <v>0.5</v>
      </c>
      <c r="S8" s="199"/>
      <c r="T8" s="136"/>
      <c r="U8" s="136"/>
      <c r="V8" s="137">
        <v>0.52</v>
      </c>
      <c r="W8" s="199"/>
      <c r="X8" s="136"/>
      <c r="Y8" s="136"/>
      <c r="Z8" s="137">
        <v>0.52</v>
      </c>
      <c r="AA8" s="199"/>
      <c r="AB8" s="136"/>
      <c r="AC8" s="136"/>
      <c r="AD8" s="137">
        <v>0.52</v>
      </c>
      <c r="AE8" s="199"/>
      <c r="AF8" s="692"/>
      <c r="AG8" s="136"/>
      <c r="AH8" s="137">
        <v>0.52</v>
      </c>
      <c r="AI8" s="828"/>
      <c r="AJ8" s="139"/>
      <c r="AK8" s="139"/>
      <c r="AL8" s="199"/>
      <c r="AM8" s="136"/>
      <c r="AN8" s="136"/>
      <c r="AO8" s="137"/>
      <c r="AP8" s="199"/>
      <c r="AQ8" s="136"/>
      <c r="AR8" s="136"/>
      <c r="AS8" s="137"/>
      <c r="AT8" s="199"/>
      <c r="AU8" s="136"/>
      <c r="AV8" s="136"/>
      <c r="AW8" s="137"/>
      <c r="AX8" s="199"/>
      <c r="AY8" s="136"/>
      <c r="AZ8" s="136"/>
      <c r="BA8" s="137"/>
      <c r="BB8" s="199"/>
      <c r="BC8" s="136"/>
      <c r="BD8" s="136"/>
      <c r="BE8" s="137"/>
      <c r="BF8" s="199"/>
      <c r="BG8" s="136"/>
      <c r="BH8" s="136"/>
      <c r="BI8" s="137"/>
      <c r="BJ8" s="1174"/>
      <c r="BK8" s="1174"/>
      <c r="BL8" s="758"/>
    </row>
    <row r="9" spans="1:69" s="3" customFormat="1" ht="15" customHeight="1" thickBot="1" x14ac:dyDescent="0.3">
      <c r="A9" s="1288"/>
      <c r="B9" s="140" t="s">
        <v>146</v>
      </c>
      <c r="C9" s="141">
        <v>0.5</v>
      </c>
      <c r="D9" s="142">
        <v>0.5</v>
      </c>
      <c r="E9" s="1253"/>
      <c r="F9" s="1290"/>
      <c r="G9" s="139"/>
      <c r="H9" s="139"/>
      <c r="I9" s="445"/>
      <c r="J9" s="139"/>
      <c r="K9" s="200"/>
      <c r="L9" s="141"/>
      <c r="M9" s="141"/>
      <c r="N9" s="142">
        <v>0.5</v>
      </c>
      <c r="O9" s="200"/>
      <c r="P9" s="141"/>
      <c r="Q9" s="141"/>
      <c r="R9" s="142">
        <v>0.52</v>
      </c>
      <c r="S9" s="200"/>
      <c r="T9" s="141"/>
      <c r="U9" s="141"/>
      <c r="V9" s="142">
        <v>0.52</v>
      </c>
      <c r="W9" s="200"/>
      <c r="X9" s="141"/>
      <c r="Y9" s="141"/>
      <c r="Z9" s="142">
        <v>0.52</v>
      </c>
      <c r="AA9" s="200"/>
      <c r="AB9" s="141"/>
      <c r="AC9" s="141"/>
      <c r="AD9" s="142">
        <v>0.52</v>
      </c>
      <c r="AE9" s="200"/>
      <c r="AF9" s="693"/>
      <c r="AG9" s="141"/>
      <c r="AH9" s="142">
        <v>0.52</v>
      </c>
      <c r="AI9" s="828"/>
      <c r="AJ9" s="139"/>
      <c r="AK9" s="139"/>
      <c r="AL9" s="200"/>
      <c r="AM9" s="141"/>
      <c r="AN9" s="141"/>
      <c r="AO9" s="142"/>
      <c r="AP9" s="200"/>
      <c r="AQ9" s="141"/>
      <c r="AR9" s="141"/>
      <c r="AS9" s="142"/>
      <c r="AT9" s="200"/>
      <c r="AU9" s="141"/>
      <c r="AV9" s="141"/>
      <c r="AW9" s="142"/>
      <c r="AX9" s="200"/>
      <c r="AY9" s="141"/>
      <c r="AZ9" s="141"/>
      <c r="BA9" s="142"/>
      <c r="BB9" s="200"/>
      <c r="BC9" s="141"/>
      <c r="BD9" s="141"/>
      <c r="BE9" s="142"/>
      <c r="BF9" s="200"/>
      <c r="BG9" s="141"/>
      <c r="BH9" s="141"/>
      <c r="BI9" s="142"/>
      <c r="BJ9" s="1174"/>
      <c r="BK9" s="1174"/>
      <c r="BL9" s="758"/>
      <c r="BM9"/>
      <c r="BN9"/>
      <c r="BO9"/>
      <c r="BP9"/>
      <c r="BQ9"/>
    </row>
    <row r="10" spans="1:69" s="3" customFormat="1" ht="26.4" x14ac:dyDescent="0.25">
      <c r="A10" s="1278" t="s">
        <v>24</v>
      </c>
      <c r="B10" s="129" t="s">
        <v>53</v>
      </c>
      <c r="C10" s="217">
        <v>0.11600000000000001</v>
      </c>
      <c r="D10" s="144">
        <v>0.122</v>
      </c>
      <c r="E10" s="188" t="s">
        <v>84</v>
      </c>
      <c r="F10" s="189" t="s">
        <v>85</v>
      </c>
      <c r="G10" s="139"/>
      <c r="H10" s="139"/>
      <c r="I10" s="453"/>
      <c r="J10" s="189" t="s">
        <v>85</v>
      </c>
      <c r="K10" s="201">
        <v>0.124</v>
      </c>
      <c r="L10" s="143"/>
      <c r="M10" s="143"/>
      <c r="N10" s="202"/>
      <c r="O10" s="201">
        <v>0.127</v>
      </c>
      <c r="P10" s="143"/>
      <c r="Q10" s="143"/>
      <c r="R10" s="202"/>
      <c r="S10" s="201">
        <v>0.129</v>
      </c>
      <c r="T10" s="143"/>
      <c r="U10" s="143"/>
      <c r="V10" s="202"/>
      <c r="W10" s="201">
        <v>0.13200000000000001</v>
      </c>
      <c r="X10" s="143"/>
      <c r="Y10" s="143"/>
      <c r="Z10" s="202"/>
      <c r="AA10" s="201">
        <v>0.13500000000000001</v>
      </c>
      <c r="AB10" s="143"/>
      <c r="AC10" s="143"/>
      <c r="AD10" s="202"/>
      <c r="AE10" s="201">
        <v>0.13700000000000001</v>
      </c>
      <c r="AF10" s="143"/>
      <c r="AG10" s="143"/>
      <c r="AH10" s="202"/>
      <c r="AI10" s="829"/>
      <c r="AJ10" s="839" t="s">
        <v>85</v>
      </c>
      <c r="AK10" s="848"/>
      <c r="AL10" s="787">
        <v>0.13700000000000001</v>
      </c>
      <c r="AM10" s="143"/>
      <c r="AN10" s="143"/>
      <c r="AO10" s="202"/>
      <c r="AP10" s="787">
        <v>0.13700000000000001</v>
      </c>
      <c r="AQ10" s="143"/>
      <c r="AR10" s="143"/>
      <c r="AS10" s="202"/>
      <c r="AT10" s="787">
        <v>0.13700000000000001</v>
      </c>
      <c r="AU10" s="143"/>
      <c r="AV10" s="143"/>
      <c r="AW10" s="202"/>
      <c r="AX10" s="787">
        <v>0.13700000000000001</v>
      </c>
      <c r="AY10" s="143"/>
      <c r="AZ10" s="143"/>
      <c r="BA10" s="202"/>
      <c r="BB10" s="787">
        <v>0.13700000000000001</v>
      </c>
      <c r="BC10" s="143"/>
      <c r="BD10" s="143"/>
      <c r="BE10" s="202"/>
      <c r="BF10" s="1110">
        <v>0.26</v>
      </c>
      <c r="BG10" s="1111"/>
      <c r="BH10" s="1111"/>
      <c r="BI10" s="1112"/>
      <c r="BJ10" s="1175">
        <f>+($BN$3-BF10)/BF10</f>
        <v>1.0384615384615385</v>
      </c>
      <c r="BK10" s="1175"/>
      <c r="BL10" s="758">
        <f>+(BF10-BB10)/BB10</f>
        <v>0.89781021897810209</v>
      </c>
    </row>
    <row r="11" spans="1:69" s="3" customFormat="1" x14ac:dyDescent="0.25">
      <c r="A11" s="1280"/>
      <c r="B11" s="133" t="s">
        <v>54</v>
      </c>
      <c r="C11" s="145">
        <v>6.9000000000000006E-2</v>
      </c>
      <c r="D11" s="146">
        <v>7.2999999999999995E-2</v>
      </c>
      <c r="E11" s="191" t="s">
        <v>86</v>
      </c>
      <c r="F11" s="196" t="s">
        <v>87</v>
      </c>
      <c r="G11" s="139"/>
      <c r="H11" s="139"/>
      <c r="I11" s="453"/>
      <c r="J11" s="196" t="s">
        <v>87</v>
      </c>
      <c r="K11" s="203">
        <v>7.4999999999999997E-2</v>
      </c>
      <c r="L11" s="145"/>
      <c r="M11" s="145"/>
      <c r="N11" s="204"/>
      <c r="O11" s="203">
        <v>7.5999999999999998E-2</v>
      </c>
      <c r="P11" s="145"/>
      <c r="Q11" s="145"/>
      <c r="R11" s="204"/>
      <c r="S11" s="203">
        <v>7.8E-2</v>
      </c>
      <c r="T11" s="145"/>
      <c r="U11" s="145"/>
      <c r="V11" s="204"/>
      <c r="W11" s="203">
        <v>7.9000000000000001E-2</v>
      </c>
      <c r="X11" s="145"/>
      <c r="Y11" s="145"/>
      <c r="Z11" s="204"/>
      <c r="AA11" s="203">
        <v>8.1000000000000003E-2</v>
      </c>
      <c r="AB11" s="145"/>
      <c r="AC11" s="145"/>
      <c r="AD11" s="204"/>
      <c r="AE11" s="203">
        <v>8.2000000000000003E-2</v>
      </c>
      <c r="AF11" s="145"/>
      <c r="AG11" s="145"/>
      <c r="AH11" s="204"/>
      <c r="AI11" s="830"/>
      <c r="AJ11" s="840" t="s">
        <v>87</v>
      </c>
      <c r="AK11" s="846"/>
      <c r="AL11" s="203"/>
      <c r="AM11" s="789">
        <v>8.2000000000000003E-2</v>
      </c>
      <c r="AN11" s="145"/>
      <c r="AO11" s="204"/>
      <c r="AP11" s="203"/>
      <c r="AQ11" s="789">
        <v>8.2000000000000003E-2</v>
      </c>
      <c r="AR11" s="145"/>
      <c r="AS11" s="204"/>
      <c r="AT11" s="203"/>
      <c r="AU11" s="789">
        <v>8.2000000000000003E-2</v>
      </c>
      <c r="AV11" s="145"/>
      <c r="AW11" s="204"/>
      <c r="AX11" s="203"/>
      <c r="AY11" s="789">
        <v>8.2000000000000003E-2</v>
      </c>
      <c r="AZ11" s="145"/>
      <c r="BA11" s="204"/>
      <c r="BB11" s="203"/>
      <c r="BC11" s="789">
        <v>8.2000000000000003E-2</v>
      </c>
      <c r="BD11" s="145"/>
      <c r="BE11" s="204"/>
      <c r="BF11" s="1113"/>
      <c r="BG11" s="1114">
        <v>0.26</v>
      </c>
      <c r="BH11" s="1115"/>
      <c r="BI11" s="1116"/>
      <c r="BJ11" s="1175">
        <f>+($BN$3-BG11)/BG11</f>
        <v>1.0384615384615385</v>
      </c>
      <c r="BK11" s="1175"/>
      <c r="BL11" s="758">
        <f>+(BG11-BC11)/BC11</f>
        <v>2.1707317073170729</v>
      </c>
    </row>
    <row r="12" spans="1:69" s="3" customFormat="1" ht="26.4" x14ac:dyDescent="0.25">
      <c r="A12" s="1280"/>
      <c r="B12" s="133" t="s">
        <v>57</v>
      </c>
      <c r="C12" s="145">
        <v>6.9000000000000006E-2</v>
      </c>
      <c r="D12" s="146">
        <v>7.2999999999999995E-2</v>
      </c>
      <c r="E12" s="191" t="s">
        <v>88</v>
      </c>
      <c r="F12" s="386" t="s">
        <v>89</v>
      </c>
      <c r="G12" s="1310" t="s">
        <v>90</v>
      </c>
      <c r="H12" s="1311"/>
      <c r="I12" s="453"/>
      <c r="J12" s="386" t="s">
        <v>89</v>
      </c>
      <c r="K12" s="203">
        <v>8.4000000000000005E-2</v>
      </c>
      <c r="L12" s="145"/>
      <c r="M12" s="145"/>
      <c r="N12" s="204"/>
      <c r="O12" s="203">
        <v>9.4E-2</v>
      </c>
      <c r="P12" s="145"/>
      <c r="Q12" s="145"/>
      <c r="R12" s="204"/>
      <c r="S12" s="203">
        <v>0.105</v>
      </c>
      <c r="T12" s="145"/>
      <c r="U12" s="145"/>
      <c r="V12" s="204"/>
      <c r="W12" s="203">
        <v>0.11600000000000001</v>
      </c>
      <c r="X12" s="145"/>
      <c r="Y12" s="145"/>
      <c r="Z12" s="204"/>
      <c r="AA12" s="203">
        <v>0.127</v>
      </c>
      <c r="AB12" s="145"/>
      <c r="AC12" s="145"/>
      <c r="AD12" s="204"/>
      <c r="AE12" s="203">
        <v>0.13700000000000001</v>
      </c>
      <c r="AF12" s="145"/>
      <c r="AG12" s="145"/>
      <c r="AH12" s="204"/>
      <c r="AI12" s="1301" t="s">
        <v>90</v>
      </c>
      <c r="AJ12" s="841" t="s">
        <v>89</v>
      </c>
      <c r="AK12" s="841"/>
      <c r="AL12" s="788">
        <v>2.4E-2</v>
      </c>
      <c r="AM12" s="145"/>
      <c r="AN12" s="145"/>
      <c r="AO12" s="204"/>
      <c r="AP12" s="788">
        <v>2.4E-2</v>
      </c>
      <c r="AQ12" s="145"/>
      <c r="AR12" s="145"/>
      <c r="AS12" s="204"/>
      <c r="AT12" s="788">
        <v>2.4E-2</v>
      </c>
      <c r="AU12" s="145"/>
      <c r="AV12" s="145"/>
      <c r="AW12" s="204"/>
      <c r="AX12" s="788">
        <v>2.4E-2</v>
      </c>
      <c r="AY12" s="145"/>
      <c r="AZ12" s="145"/>
      <c r="BA12" s="204"/>
      <c r="BB12" s="788">
        <v>2.4E-2</v>
      </c>
      <c r="BC12" s="145"/>
      <c r="BD12" s="145"/>
      <c r="BE12" s="204"/>
      <c r="BF12" s="1117">
        <v>0.26</v>
      </c>
      <c r="BG12" s="1115"/>
      <c r="BH12" s="1115"/>
      <c r="BI12" s="1116"/>
      <c r="BJ12" s="1175">
        <f t="shared" ref="BJ12" si="0">+($BN$3-BF12)/BF12</f>
        <v>1.0384615384615385</v>
      </c>
      <c r="BK12" s="1175"/>
      <c r="BL12" s="758">
        <f>+(BF12-BB12)/BB12</f>
        <v>9.8333333333333339</v>
      </c>
    </row>
    <row r="13" spans="1:69" s="3" customFormat="1" x14ac:dyDescent="0.25">
      <c r="A13" s="1280"/>
      <c r="B13" s="133" t="s">
        <v>58</v>
      </c>
      <c r="C13" s="145">
        <v>3.5000000000000003E-2</v>
      </c>
      <c r="D13" s="146">
        <v>3.5999999999999997E-2</v>
      </c>
      <c r="E13" s="192" t="s">
        <v>91</v>
      </c>
      <c r="F13" s="387" t="s">
        <v>92</v>
      </c>
      <c r="G13" s="1312"/>
      <c r="H13" s="1313"/>
      <c r="I13" s="453"/>
      <c r="J13" s="387" t="s">
        <v>92</v>
      </c>
      <c r="K13" s="203">
        <v>5.2999999999999999E-2</v>
      </c>
      <c r="L13" s="145"/>
      <c r="M13" s="145"/>
      <c r="N13" s="204"/>
      <c r="O13" s="203">
        <v>7.0000000000000007E-2</v>
      </c>
      <c r="P13" s="145"/>
      <c r="Q13" s="145"/>
      <c r="R13" s="204"/>
      <c r="S13" s="203">
        <v>8.6999999999999994E-2</v>
      </c>
      <c r="T13" s="145"/>
      <c r="U13" s="145"/>
      <c r="V13" s="204"/>
      <c r="W13" s="203">
        <v>0.104</v>
      </c>
      <c r="X13" s="145"/>
      <c r="Y13" s="145"/>
      <c r="Z13" s="204"/>
      <c r="AA13" s="203">
        <v>0.12</v>
      </c>
      <c r="AB13" s="145"/>
      <c r="AC13" s="145"/>
      <c r="AD13" s="204"/>
      <c r="AE13" s="203">
        <v>0.13700000000000001</v>
      </c>
      <c r="AF13" s="145"/>
      <c r="AG13" s="145"/>
      <c r="AH13" s="204"/>
      <c r="AI13" s="1302"/>
      <c r="AJ13" s="842" t="s">
        <v>92</v>
      </c>
      <c r="AK13" s="842"/>
      <c r="AL13" s="849"/>
      <c r="AM13" s="138"/>
      <c r="AN13" s="138"/>
      <c r="AO13" s="709"/>
      <c r="AP13" s="849"/>
      <c r="AQ13" s="138"/>
      <c r="AR13" s="138"/>
      <c r="AS13" s="709"/>
      <c r="AT13" s="849"/>
      <c r="AU13" s="138"/>
      <c r="AV13" s="138"/>
      <c r="AW13" s="709"/>
      <c r="AX13" s="849"/>
      <c r="AY13" s="138"/>
      <c r="AZ13" s="138"/>
      <c r="BA13" s="709"/>
      <c r="BB13" s="849"/>
      <c r="BC13" s="138"/>
      <c r="BD13" s="138"/>
      <c r="BE13" s="709"/>
      <c r="BF13" s="1118"/>
      <c r="BG13" s="1119"/>
      <c r="BH13" s="1119"/>
      <c r="BI13" s="1120"/>
      <c r="BJ13" s="1175"/>
      <c r="BK13" s="1176"/>
      <c r="BL13" s="758"/>
    </row>
    <row r="14" spans="1:69" s="3" customFormat="1" x14ac:dyDescent="0.25">
      <c r="A14" s="1280"/>
      <c r="B14" s="133" t="s">
        <v>59</v>
      </c>
      <c r="C14" s="145">
        <v>1.2E-2</v>
      </c>
      <c r="D14" s="146">
        <v>1.2E-2</v>
      </c>
      <c r="E14" s="193" t="s">
        <v>93</v>
      </c>
      <c r="F14" s="388" t="s">
        <v>94</v>
      </c>
      <c r="G14" s="1314"/>
      <c r="H14" s="1315"/>
      <c r="I14" s="453"/>
      <c r="J14" s="388" t="s">
        <v>94</v>
      </c>
      <c r="K14" s="203">
        <v>2.4E-2</v>
      </c>
      <c r="L14" s="145"/>
      <c r="M14" s="145"/>
      <c r="N14" s="204"/>
      <c r="O14" s="203">
        <v>2.4E-2</v>
      </c>
      <c r="P14" s="145"/>
      <c r="Q14" s="145"/>
      <c r="R14" s="204"/>
      <c r="S14" s="203">
        <v>2.4E-2</v>
      </c>
      <c r="T14" s="145"/>
      <c r="U14" s="145"/>
      <c r="V14" s="204"/>
      <c r="W14" s="203">
        <v>2.4E-2</v>
      </c>
      <c r="X14" s="145"/>
      <c r="Y14" s="145"/>
      <c r="Z14" s="204"/>
      <c r="AA14" s="203">
        <v>2.4E-2</v>
      </c>
      <c r="AB14" s="145"/>
      <c r="AC14" s="145"/>
      <c r="AD14" s="204"/>
      <c r="AE14" s="203">
        <v>2.4E-2</v>
      </c>
      <c r="AF14" s="145"/>
      <c r="AG14" s="145"/>
      <c r="AH14" s="204"/>
      <c r="AI14" s="1303"/>
      <c r="AJ14" s="843" t="s">
        <v>94</v>
      </c>
      <c r="AK14" s="843"/>
      <c r="AL14" s="849"/>
      <c r="AM14" s="138"/>
      <c r="AN14" s="138"/>
      <c r="AO14" s="709"/>
      <c r="AP14" s="849"/>
      <c r="AQ14" s="138"/>
      <c r="AR14" s="138"/>
      <c r="AS14" s="709"/>
      <c r="AT14" s="849"/>
      <c r="AU14" s="138"/>
      <c r="AV14" s="138"/>
      <c r="AW14" s="709"/>
      <c r="AX14" s="849"/>
      <c r="AY14" s="138"/>
      <c r="AZ14" s="138"/>
      <c r="BA14" s="709"/>
      <c r="BB14" s="849"/>
      <c r="BC14" s="138"/>
      <c r="BD14" s="138"/>
      <c r="BE14" s="709"/>
      <c r="BF14" s="1118"/>
      <c r="BG14" s="1119"/>
      <c r="BH14" s="1119"/>
      <c r="BI14" s="1120"/>
      <c r="BJ14" s="1175"/>
      <c r="BK14" s="1176"/>
      <c r="BL14" s="758"/>
    </row>
    <row r="15" spans="1:69" s="3" customFormat="1" x14ac:dyDescent="0.25">
      <c r="A15" s="1280"/>
      <c r="B15" s="133" t="s">
        <v>55</v>
      </c>
      <c r="C15" s="145">
        <v>0.246</v>
      </c>
      <c r="D15" s="146">
        <v>0.252</v>
      </c>
      <c r="E15" s="193" t="s">
        <v>95</v>
      </c>
      <c r="F15" s="197" t="s">
        <v>96</v>
      </c>
      <c r="G15" s="139"/>
      <c r="H15" s="139"/>
      <c r="I15" s="453"/>
      <c r="J15" s="197" t="s">
        <v>96</v>
      </c>
      <c r="K15" s="203">
        <v>0.13900000000000001</v>
      </c>
      <c r="L15" s="145"/>
      <c r="M15" s="145"/>
      <c r="N15" s="204"/>
      <c r="O15" s="203">
        <v>0.127</v>
      </c>
      <c r="P15" s="145"/>
      <c r="Q15" s="145"/>
      <c r="R15" s="204"/>
      <c r="S15" s="203">
        <v>0.129</v>
      </c>
      <c r="T15" s="145"/>
      <c r="U15" s="145"/>
      <c r="V15" s="204"/>
      <c r="W15" s="203">
        <v>0.13200000000000001</v>
      </c>
      <c r="X15" s="145"/>
      <c r="Y15" s="145"/>
      <c r="Z15" s="204"/>
      <c r="AA15" s="203">
        <v>0.13500000000000001</v>
      </c>
      <c r="AB15" s="145"/>
      <c r="AC15" s="145"/>
      <c r="AD15" s="204"/>
      <c r="AE15" s="203">
        <v>0.13700000000000001</v>
      </c>
      <c r="AF15" s="145"/>
      <c r="AG15" s="145"/>
      <c r="AH15" s="204"/>
      <c r="AI15" s="829"/>
      <c r="AJ15" s="844" t="s">
        <v>96</v>
      </c>
      <c r="AK15" s="848"/>
      <c r="AL15" s="849"/>
      <c r="AM15" s="53"/>
      <c r="AN15" s="53"/>
      <c r="AO15" s="950"/>
      <c r="AP15" s="989"/>
      <c r="AQ15" s="53"/>
      <c r="AR15" s="53"/>
      <c r="AS15" s="950"/>
      <c r="AT15" s="989"/>
      <c r="AU15" s="53"/>
      <c r="AV15" s="53"/>
      <c r="AW15" s="950"/>
      <c r="AX15" s="989"/>
      <c r="AY15" s="53"/>
      <c r="AZ15" s="53"/>
      <c r="BA15" s="950"/>
      <c r="BB15" s="989"/>
      <c r="BC15" s="53"/>
      <c r="BD15" s="53"/>
      <c r="BE15" s="950"/>
      <c r="BF15" s="1121"/>
      <c r="BG15" s="1122"/>
      <c r="BH15" s="1119"/>
      <c r="BI15" s="1120"/>
      <c r="BJ15" s="1175"/>
      <c r="BK15" s="1176"/>
      <c r="BL15" s="758"/>
    </row>
    <row r="16" spans="1:69" s="3" customFormat="1" x14ac:dyDescent="0.25">
      <c r="A16" s="1280"/>
      <c r="B16" s="133" t="s">
        <v>56</v>
      </c>
      <c r="C16" s="145">
        <v>0.35</v>
      </c>
      <c r="D16" s="146">
        <v>0.35</v>
      </c>
      <c r="E16" s="190" t="s">
        <v>97</v>
      </c>
      <c r="F16" s="149" t="s">
        <v>98</v>
      </c>
      <c r="G16" s="139"/>
      <c r="H16" s="139"/>
      <c r="I16" s="453"/>
      <c r="J16" s="149" t="s">
        <v>98</v>
      </c>
      <c r="K16" s="203">
        <v>0.36</v>
      </c>
      <c r="L16" s="145"/>
      <c r="M16" s="145"/>
      <c r="N16" s="204"/>
      <c r="O16" s="203">
        <v>3.5999999999999997E-2</v>
      </c>
      <c r="P16" s="145"/>
      <c r="Q16" s="145"/>
      <c r="R16" s="204"/>
      <c r="S16" s="203">
        <v>0.37</v>
      </c>
      <c r="T16" s="145"/>
      <c r="U16" s="145"/>
      <c r="V16" s="204"/>
      <c r="W16" s="203">
        <v>0.38</v>
      </c>
      <c r="X16" s="145"/>
      <c r="Y16" s="145"/>
      <c r="Z16" s="204"/>
      <c r="AA16" s="203">
        <v>0.39</v>
      </c>
      <c r="AB16" s="145"/>
      <c r="AC16" s="145"/>
      <c r="AD16" s="204"/>
      <c r="AE16" s="203">
        <v>0.39</v>
      </c>
      <c r="AF16" s="145"/>
      <c r="AG16" s="145"/>
      <c r="AH16" s="204"/>
      <c r="AI16" s="831"/>
      <c r="AJ16" s="845" t="s">
        <v>98</v>
      </c>
      <c r="AK16" s="1053"/>
      <c r="AL16" s="849"/>
      <c r="AM16" s="53">
        <v>0.39</v>
      </c>
      <c r="AN16" s="53"/>
      <c r="AO16" s="950"/>
      <c r="AP16" s="989"/>
      <c r="AQ16" s="53">
        <v>0.39</v>
      </c>
      <c r="AR16" s="53"/>
      <c r="AS16" s="950"/>
      <c r="AT16" s="989"/>
      <c r="AU16" s="53">
        <v>0.39</v>
      </c>
      <c r="AV16" s="53"/>
      <c r="AW16" s="950"/>
      <c r="AX16" s="989"/>
      <c r="AY16" s="53">
        <v>0.39</v>
      </c>
      <c r="AZ16" s="53"/>
      <c r="BA16" s="950"/>
      <c r="BB16" s="989"/>
      <c r="BC16" s="53">
        <v>0.39</v>
      </c>
      <c r="BD16" s="53"/>
      <c r="BE16" s="950"/>
      <c r="BF16" s="1121"/>
      <c r="BG16" s="1122">
        <v>0.39</v>
      </c>
      <c r="BH16" s="1119"/>
      <c r="BI16" s="1120"/>
      <c r="BJ16" s="1175">
        <f>+($BN$3-BG16)/BG16</f>
        <v>0.35897435897435898</v>
      </c>
      <c r="BK16" s="1176"/>
      <c r="BL16" s="758">
        <f>+(BG16-BC16)/BC16</f>
        <v>0</v>
      </c>
    </row>
    <row r="17" spans="1:64" s="3" customFormat="1" ht="26.4" x14ac:dyDescent="0.25">
      <c r="A17" s="1280"/>
      <c r="B17" s="133" t="s">
        <v>60</v>
      </c>
      <c r="C17" s="145">
        <v>0.154</v>
      </c>
      <c r="D17" s="146">
        <v>0.16200000000000001</v>
      </c>
      <c r="E17" s="190" t="s">
        <v>99</v>
      </c>
      <c r="F17" s="149" t="s">
        <v>100</v>
      </c>
      <c r="G17" s="139"/>
      <c r="H17" s="139"/>
      <c r="I17" s="453"/>
      <c r="J17" s="149" t="s">
        <v>100</v>
      </c>
      <c r="K17" s="203">
        <v>0.16500000000000001</v>
      </c>
      <c r="L17" s="145"/>
      <c r="M17" s="145"/>
      <c r="N17" s="204"/>
      <c r="O17" s="203">
        <v>0.16900000000000001</v>
      </c>
      <c r="P17" s="145"/>
      <c r="Q17" s="145"/>
      <c r="R17" s="204"/>
      <c r="S17" s="203">
        <v>0.17199999999999999</v>
      </c>
      <c r="T17" s="145"/>
      <c r="U17" s="145"/>
      <c r="V17" s="204"/>
      <c r="W17" s="203">
        <v>0.17499999999999999</v>
      </c>
      <c r="X17" s="145"/>
      <c r="Y17" s="145"/>
      <c r="Z17" s="204"/>
      <c r="AA17" s="203">
        <v>0.17899999999999999</v>
      </c>
      <c r="AB17" s="145"/>
      <c r="AC17" s="145"/>
      <c r="AD17" s="204"/>
      <c r="AE17" s="203">
        <v>0.182</v>
      </c>
      <c r="AF17" s="145"/>
      <c r="AG17" s="145"/>
      <c r="AH17" s="204"/>
      <c r="AI17" s="831"/>
      <c r="AJ17" s="845" t="s">
        <v>100</v>
      </c>
      <c r="AK17" s="1053"/>
      <c r="AL17" s="203"/>
      <c r="AM17" s="145"/>
      <c r="AN17" s="145"/>
      <c r="AO17" s="804">
        <v>0.182</v>
      </c>
      <c r="AP17" s="203"/>
      <c r="AQ17" s="145"/>
      <c r="AR17" s="145"/>
      <c r="AS17" s="804">
        <v>0.182</v>
      </c>
      <c r="AT17" s="203"/>
      <c r="AU17" s="145"/>
      <c r="AV17" s="145"/>
      <c r="AW17" s="804">
        <v>0.182</v>
      </c>
      <c r="AX17" s="203"/>
      <c r="AY17" s="145"/>
      <c r="AZ17" s="145"/>
      <c r="BA17" s="804">
        <v>0.182</v>
      </c>
      <c r="BB17" s="203"/>
      <c r="BC17" s="145"/>
      <c r="BD17" s="145"/>
      <c r="BE17" s="804">
        <v>0.182</v>
      </c>
      <c r="BF17" s="1113"/>
      <c r="BG17" s="1115"/>
      <c r="BH17" s="1115"/>
      <c r="BI17" s="1123">
        <v>0.52</v>
      </c>
      <c r="BJ17" s="1175">
        <f>+($BP$3-BI17)/BI17</f>
        <v>1.0384615384615385</v>
      </c>
      <c r="BK17" s="1177"/>
      <c r="BL17" s="758">
        <f>+(BI17-BE17)/BE17</f>
        <v>1.8571428571428572</v>
      </c>
    </row>
    <row r="18" spans="1:64" s="3" customFormat="1" x14ac:dyDescent="0.25">
      <c r="A18" s="1280"/>
      <c r="B18" s="133" t="s">
        <v>61</v>
      </c>
      <c r="C18" s="145">
        <v>9.1999999999999998E-2</v>
      </c>
      <c r="D18" s="146">
        <v>0.97</v>
      </c>
      <c r="E18" s="190" t="s">
        <v>101</v>
      </c>
      <c r="F18" s="149" t="s">
        <v>87</v>
      </c>
      <c r="G18" s="139"/>
      <c r="H18" s="139"/>
      <c r="I18" s="453"/>
      <c r="J18" s="149" t="s">
        <v>87</v>
      </c>
      <c r="K18" s="203">
        <v>9.9000000000000005E-2</v>
      </c>
      <c r="L18" s="145"/>
      <c r="M18" s="145"/>
      <c r="N18" s="204"/>
      <c r="O18" s="203">
        <v>0.10100000000000001</v>
      </c>
      <c r="P18" s="145"/>
      <c r="Q18" s="145"/>
      <c r="R18" s="204"/>
      <c r="S18" s="203">
        <v>0.10299999999999999</v>
      </c>
      <c r="T18" s="145"/>
      <c r="U18" s="145"/>
      <c r="V18" s="204"/>
      <c r="W18" s="203">
        <v>0.105</v>
      </c>
      <c r="X18" s="145"/>
      <c r="Y18" s="145"/>
      <c r="Z18" s="204"/>
      <c r="AA18" s="203">
        <v>0.107</v>
      </c>
      <c r="AB18" s="145"/>
      <c r="AC18" s="145"/>
      <c r="AD18" s="204"/>
      <c r="AE18" s="203">
        <v>0.109</v>
      </c>
      <c r="AF18" s="145"/>
      <c r="AG18" s="145"/>
      <c r="AH18" s="204"/>
      <c r="AI18" s="831"/>
      <c r="AJ18" s="845" t="s">
        <v>87</v>
      </c>
      <c r="AK18" s="1053"/>
      <c r="AL18" s="203"/>
      <c r="AM18" s="145"/>
      <c r="AN18" s="145"/>
      <c r="AO18" s="804">
        <v>0.109</v>
      </c>
      <c r="AP18" s="203"/>
      <c r="AQ18" s="145"/>
      <c r="AR18" s="145"/>
      <c r="AS18" s="804">
        <v>0.109</v>
      </c>
      <c r="AT18" s="203"/>
      <c r="AU18" s="145"/>
      <c r="AV18" s="145"/>
      <c r="AW18" s="804">
        <v>0.109</v>
      </c>
      <c r="AX18" s="203"/>
      <c r="AY18" s="145"/>
      <c r="AZ18" s="145"/>
      <c r="BA18" s="804">
        <v>0.109</v>
      </c>
      <c r="BB18" s="203"/>
      <c r="BC18" s="145"/>
      <c r="BD18" s="145"/>
      <c r="BE18" s="804">
        <v>0.109</v>
      </c>
      <c r="BF18" s="1113"/>
      <c r="BG18" s="1115"/>
      <c r="BH18" s="1115"/>
      <c r="BI18" s="1123">
        <v>0.52</v>
      </c>
      <c r="BJ18" s="1175">
        <f>+($BP$3-BI18)/BI18</f>
        <v>1.0384615384615385</v>
      </c>
      <c r="BK18" s="1177"/>
      <c r="BL18" s="758">
        <f>+(BI18-BE18)/BE18</f>
        <v>3.7706422018348627</v>
      </c>
    </row>
    <row r="19" spans="1:64" s="3" customFormat="1" ht="26.4" x14ac:dyDescent="0.25">
      <c r="A19" s="1280"/>
      <c r="B19" s="133" t="s">
        <v>65</v>
      </c>
      <c r="C19" s="145"/>
      <c r="D19" s="146"/>
      <c r="E19" s="191" t="s">
        <v>102</v>
      </c>
      <c r="F19" s="384" t="s">
        <v>103</v>
      </c>
      <c r="G19" s="1310" t="s">
        <v>104</v>
      </c>
      <c r="H19" s="1311"/>
      <c r="I19" s="453"/>
      <c r="J19" s="384" t="s">
        <v>103</v>
      </c>
      <c r="K19" s="203">
        <v>8.4000000000000005E-2</v>
      </c>
      <c r="L19" s="145"/>
      <c r="M19" s="145"/>
      <c r="N19" s="204"/>
      <c r="O19" s="203">
        <v>9.4E-2</v>
      </c>
      <c r="P19" s="145"/>
      <c r="Q19" s="145"/>
      <c r="R19" s="204"/>
      <c r="S19" s="203">
        <v>0.105</v>
      </c>
      <c r="T19" s="145"/>
      <c r="U19" s="145"/>
      <c r="V19" s="204"/>
      <c r="W19" s="203">
        <v>0.11600000000000001</v>
      </c>
      <c r="X19" s="145"/>
      <c r="Y19" s="145"/>
      <c r="Z19" s="204"/>
      <c r="AA19" s="203">
        <v>0.127</v>
      </c>
      <c r="AB19" s="145"/>
      <c r="AC19" s="145"/>
      <c r="AD19" s="204"/>
      <c r="AE19" s="203">
        <v>0.13700000000000001</v>
      </c>
      <c r="AF19" s="145"/>
      <c r="AG19" s="145"/>
      <c r="AH19" s="204"/>
      <c r="AI19" s="832"/>
      <c r="AJ19" s="846" t="s">
        <v>103</v>
      </c>
      <c r="AK19" s="846"/>
      <c r="AL19" s="849"/>
      <c r="AM19" s="138"/>
      <c r="AN19" s="138"/>
      <c r="AO19" s="709"/>
      <c r="AP19" s="849"/>
      <c r="AQ19" s="138"/>
      <c r="AR19" s="138"/>
      <c r="AS19" s="709"/>
      <c r="AT19" s="849"/>
      <c r="AU19" s="138"/>
      <c r="AV19" s="138"/>
      <c r="AW19" s="709"/>
      <c r="AX19" s="849"/>
      <c r="AY19" s="138"/>
      <c r="AZ19" s="138"/>
      <c r="BA19" s="709"/>
      <c r="BB19" s="849"/>
      <c r="BC19" s="138"/>
      <c r="BD19" s="138"/>
      <c r="BE19" s="709"/>
      <c r="BF19" s="1118"/>
      <c r="BG19" s="1119"/>
      <c r="BH19" s="1119"/>
      <c r="BI19" s="1120"/>
      <c r="BJ19" s="1175"/>
      <c r="BK19" s="1176"/>
      <c r="BL19" s="758"/>
    </row>
    <row r="20" spans="1:64" s="3" customFormat="1" x14ac:dyDescent="0.25">
      <c r="A20" s="1280"/>
      <c r="B20" s="133" t="s">
        <v>66</v>
      </c>
      <c r="C20" s="145"/>
      <c r="D20" s="146"/>
      <c r="E20" s="192" t="s">
        <v>105</v>
      </c>
      <c r="F20" s="157" t="s">
        <v>106</v>
      </c>
      <c r="G20" s="1312"/>
      <c r="H20" s="1313"/>
      <c r="I20" s="453"/>
      <c r="J20" s="157" t="s">
        <v>106</v>
      </c>
      <c r="K20" s="203">
        <v>5.2999999999999999E-2</v>
      </c>
      <c r="L20" s="145"/>
      <c r="M20" s="145"/>
      <c r="N20" s="204"/>
      <c r="O20" s="203">
        <v>7.0000000000000007E-2</v>
      </c>
      <c r="P20" s="145"/>
      <c r="Q20" s="145"/>
      <c r="R20" s="204"/>
      <c r="S20" s="203">
        <v>8.6999999999999994E-2</v>
      </c>
      <c r="T20" s="145"/>
      <c r="U20" s="145"/>
      <c r="V20" s="204"/>
      <c r="W20" s="203">
        <v>0.104</v>
      </c>
      <c r="X20" s="145"/>
      <c r="Y20" s="145"/>
      <c r="Z20" s="204"/>
      <c r="AA20" s="203">
        <v>0.12</v>
      </c>
      <c r="AB20" s="145"/>
      <c r="AC20" s="145"/>
      <c r="AD20" s="204"/>
      <c r="AE20" s="203">
        <v>0.13700000000000001</v>
      </c>
      <c r="AF20" s="145"/>
      <c r="AG20" s="145"/>
      <c r="AH20" s="204"/>
      <c r="AI20" s="139"/>
      <c r="AJ20" s="847" t="s">
        <v>106</v>
      </c>
      <c r="AK20" s="847"/>
      <c r="AL20" s="849"/>
      <c r="AM20" s="138"/>
      <c r="AN20" s="138"/>
      <c r="AO20" s="709"/>
      <c r="AP20" s="849"/>
      <c r="AQ20" s="138"/>
      <c r="AR20" s="138"/>
      <c r="AS20" s="709"/>
      <c r="AT20" s="849"/>
      <c r="AU20" s="138"/>
      <c r="AV20" s="138"/>
      <c r="AW20" s="709"/>
      <c r="AX20" s="849"/>
      <c r="AY20" s="138"/>
      <c r="AZ20" s="138"/>
      <c r="BA20" s="709"/>
      <c r="BB20" s="849"/>
      <c r="BC20" s="138"/>
      <c r="BD20" s="138"/>
      <c r="BE20" s="709"/>
      <c r="BF20" s="1118"/>
      <c r="BG20" s="1119"/>
      <c r="BH20" s="1119"/>
      <c r="BI20" s="1120"/>
      <c r="BJ20" s="1175"/>
      <c r="BK20" s="1176"/>
      <c r="BL20" s="758"/>
    </row>
    <row r="21" spans="1:64" s="3" customFormat="1" x14ac:dyDescent="0.25">
      <c r="A21" s="1280"/>
      <c r="B21" s="133" t="s">
        <v>67</v>
      </c>
      <c r="C21" s="145"/>
      <c r="D21" s="146"/>
      <c r="E21" s="193" t="s">
        <v>107</v>
      </c>
      <c r="F21" s="385" t="s">
        <v>108</v>
      </c>
      <c r="G21" s="1314"/>
      <c r="H21" s="1315"/>
      <c r="I21" s="453"/>
      <c r="J21" s="385" t="s">
        <v>108</v>
      </c>
      <c r="K21" s="203">
        <v>2.4E-2</v>
      </c>
      <c r="L21" s="145"/>
      <c r="M21" s="145"/>
      <c r="N21" s="204"/>
      <c r="O21" s="203">
        <v>2.4E-2</v>
      </c>
      <c r="P21" s="145"/>
      <c r="Q21" s="145"/>
      <c r="R21" s="204"/>
      <c r="S21" s="203">
        <v>2.4E-2</v>
      </c>
      <c r="T21" s="145"/>
      <c r="U21" s="145"/>
      <c r="V21" s="204"/>
      <c r="W21" s="203">
        <v>2.4E-2</v>
      </c>
      <c r="X21" s="145"/>
      <c r="Y21" s="145"/>
      <c r="Z21" s="204"/>
      <c r="AA21" s="203">
        <v>2.4E-2</v>
      </c>
      <c r="AB21" s="145"/>
      <c r="AC21" s="145"/>
      <c r="AD21" s="204"/>
      <c r="AE21" s="203">
        <v>2.4E-2</v>
      </c>
      <c r="AF21" s="145"/>
      <c r="AG21" s="145"/>
      <c r="AH21" s="204"/>
      <c r="AI21" s="833"/>
      <c r="AJ21" s="848" t="s">
        <v>108</v>
      </c>
      <c r="AK21" s="848"/>
      <c r="AL21" s="849"/>
      <c r="AM21" s="138"/>
      <c r="AN21" s="138"/>
      <c r="AO21" s="709"/>
      <c r="AP21" s="849"/>
      <c r="AQ21" s="138"/>
      <c r="AR21" s="138"/>
      <c r="AS21" s="709"/>
      <c r="AT21" s="849"/>
      <c r="AU21" s="138"/>
      <c r="AV21" s="138"/>
      <c r="AW21" s="709"/>
      <c r="AX21" s="849"/>
      <c r="AY21" s="138"/>
      <c r="AZ21" s="138"/>
      <c r="BA21" s="709"/>
      <c r="BB21" s="849"/>
      <c r="BC21" s="138"/>
      <c r="BD21" s="138"/>
      <c r="BE21" s="709"/>
      <c r="BF21" s="1118"/>
      <c r="BG21" s="1119"/>
      <c r="BH21" s="1119"/>
      <c r="BI21" s="1120"/>
      <c r="BJ21" s="1175"/>
      <c r="BK21" s="1176"/>
      <c r="BL21" s="758"/>
    </row>
    <row r="22" spans="1:64" s="3" customFormat="1" x14ac:dyDescent="0.25">
      <c r="A22" s="1280"/>
      <c r="B22" s="133" t="s">
        <v>62</v>
      </c>
      <c r="C22" s="145">
        <v>0.28399999999999997</v>
      </c>
      <c r="D22" s="146">
        <v>0.29199999999999998</v>
      </c>
      <c r="E22" s="190" t="s">
        <v>109</v>
      </c>
      <c r="F22" s="149" t="s">
        <v>96</v>
      </c>
      <c r="G22" s="139"/>
      <c r="H22" s="139"/>
      <c r="I22" s="453"/>
      <c r="J22" s="149" t="s">
        <v>96</v>
      </c>
      <c r="K22" s="203">
        <v>0.185</v>
      </c>
      <c r="L22" s="145"/>
      <c r="M22" s="145"/>
      <c r="N22" s="204"/>
      <c r="O22" s="203">
        <v>0.16900000000000001</v>
      </c>
      <c r="P22" s="145"/>
      <c r="Q22" s="145"/>
      <c r="R22" s="204"/>
      <c r="S22" s="203">
        <v>0.17199999999999999</v>
      </c>
      <c r="T22" s="145"/>
      <c r="U22" s="145"/>
      <c r="V22" s="204"/>
      <c r="W22" s="203">
        <v>0.17499999999999999</v>
      </c>
      <c r="X22" s="145"/>
      <c r="Y22" s="145"/>
      <c r="Z22" s="204"/>
      <c r="AA22" s="203">
        <v>0.17899999999999999</v>
      </c>
      <c r="AB22" s="145"/>
      <c r="AC22" s="145"/>
      <c r="AD22" s="204"/>
      <c r="AE22" s="203">
        <v>0.182</v>
      </c>
      <c r="AF22" s="145"/>
      <c r="AG22" s="145"/>
      <c r="AH22" s="204"/>
      <c r="AI22" s="831"/>
      <c r="AJ22" s="845" t="s">
        <v>96</v>
      </c>
      <c r="AK22" s="1053"/>
      <c r="AL22" s="849"/>
      <c r="AM22" s="138"/>
      <c r="AN22" s="138"/>
      <c r="AO22" s="709"/>
      <c r="AP22" s="849"/>
      <c r="AQ22" s="138"/>
      <c r="AR22" s="138"/>
      <c r="AS22" s="709"/>
      <c r="AT22" s="849"/>
      <c r="AU22" s="138"/>
      <c r="AV22" s="138"/>
      <c r="AW22" s="709"/>
      <c r="AX22" s="849"/>
      <c r="AY22" s="138"/>
      <c r="AZ22" s="138"/>
      <c r="BA22" s="709"/>
      <c r="BB22" s="849"/>
      <c r="BC22" s="138"/>
      <c r="BD22" s="138"/>
      <c r="BE22" s="709"/>
      <c r="BF22" s="1118"/>
      <c r="BG22" s="1119"/>
      <c r="BH22" s="1119"/>
      <c r="BI22" s="1120"/>
      <c r="BJ22" s="1175"/>
      <c r="BK22" s="1176"/>
      <c r="BL22" s="758"/>
    </row>
    <row r="23" spans="1:64" s="3" customFormat="1" x14ac:dyDescent="0.25">
      <c r="A23" s="1280"/>
      <c r="B23" s="133" t="s">
        <v>63</v>
      </c>
      <c r="C23" s="145">
        <v>0.40500000000000003</v>
      </c>
      <c r="D23" s="146">
        <v>0.42499999999999999</v>
      </c>
      <c r="E23" s="190" t="s">
        <v>110</v>
      </c>
      <c r="F23" s="149" t="s">
        <v>98</v>
      </c>
      <c r="G23" s="139"/>
      <c r="H23" s="139"/>
      <c r="I23" s="453"/>
      <c r="J23" s="149" t="s">
        <v>98</v>
      </c>
      <c r="K23" s="203">
        <v>0.43</v>
      </c>
      <c r="L23" s="145"/>
      <c r="M23" s="145"/>
      <c r="N23" s="204"/>
      <c r="O23" s="203">
        <v>0.44</v>
      </c>
      <c r="P23" s="145"/>
      <c r="Q23" s="145"/>
      <c r="R23" s="204"/>
      <c r="S23" s="203">
        <v>0.45</v>
      </c>
      <c r="T23" s="145"/>
      <c r="U23" s="145"/>
      <c r="V23" s="204"/>
      <c r="W23" s="203">
        <v>4.5999999999999999E-2</v>
      </c>
      <c r="X23" s="145"/>
      <c r="Y23" s="145"/>
      <c r="Z23" s="204"/>
      <c r="AA23" s="203">
        <v>4.7E-2</v>
      </c>
      <c r="AB23" s="145"/>
      <c r="AC23" s="145"/>
      <c r="AD23" s="204"/>
      <c r="AE23" s="203">
        <v>0.48</v>
      </c>
      <c r="AF23" s="145"/>
      <c r="AG23" s="145"/>
      <c r="AH23" s="204"/>
      <c r="AI23" s="831"/>
      <c r="AJ23" s="845" t="s">
        <v>98</v>
      </c>
      <c r="AK23" s="1053"/>
      <c r="AL23" s="203"/>
      <c r="AM23" s="145"/>
      <c r="AN23" s="145"/>
      <c r="AO23" s="804">
        <v>0.48</v>
      </c>
      <c r="AP23" s="203"/>
      <c r="AQ23" s="145"/>
      <c r="AR23" s="145"/>
      <c r="AS23" s="804">
        <v>0.48</v>
      </c>
      <c r="AT23" s="203"/>
      <c r="AU23" s="145"/>
      <c r="AV23" s="145"/>
      <c r="AW23" s="804">
        <v>0.48</v>
      </c>
      <c r="AX23" s="203"/>
      <c r="AY23" s="145"/>
      <c r="AZ23" s="145"/>
      <c r="BA23" s="804">
        <v>0.48</v>
      </c>
      <c r="BB23" s="203"/>
      <c r="BC23" s="145"/>
      <c r="BD23" s="145"/>
      <c r="BE23" s="804">
        <v>0.48</v>
      </c>
      <c r="BF23" s="1113"/>
      <c r="BG23" s="1115"/>
      <c r="BH23" s="1115"/>
      <c r="BI23" s="1123">
        <v>0.52</v>
      </c>
      <c r="BJ23" s="1175">
        <f>+($BP$3-BI23)/BI23</f>
        <v>1.0384615384615385</v>
      </c>
      <c r="BK23" s="1177"/>
      <c r="BL23" s="758">
        <f>+(BI23-BE23)/BE23</f>
        <v>8.3333333333333412E-2</v>
      </c>
    </row>
    <row r="24" spans="1:64" s="3" customFormat="1" ht="14.25" customHeight="1" x14ac:dyDescent="0.25">
      <c r="A24" s="1291"/>
      <c r="B24" s="133" t="s">
        <v>114</v>
      </c>
      <c r="C24" s="432">
        <v>0.438</v>
      </c>
      <c r="D24" s="433">
        <v>0.45900000000000002</v>
      </c>
      <c r="E24" s="148" t="s">
        <v>112</v>
      </c>
      <c r="F24" s="1304" t="s">
        <v>113</v>
      </c>
      <c r="G24" s="139"/>
      <c r="H24" s="139"/>
      <c r="I24" s="454"/>
      <c r="J24" s="1298" t="s">
        <v>113</v>
      </c>
      <c r="K24" s="203">
        <v>0.47</v>
      </c>
      <c r="L24" s="432"/>
      <c r="M24" s="432"/>
      <c r="N24" s="433"/>
      <c r="O24" s="438">
        <v>0.48</v>
      </c>
      <c r="P24" s="145"/>
      <c r="Q24" s="145"/>
      <c r="R24" s="439"/>
      <c r="S24" s="438">
        <v>0.49</v>
      </c>
      <c r="T24" s="145"/>
      <c r="U24" s="145"/>
      <c r="V24" s="439"/>
      <c r="W24" s="438">
        <v>0.5</v>
      </c>
      <c r="X24" s="145"/>
      <c r="Y24" s="145"/>
      <c r="Z24" s="439"/>
      <c r="AA24" s="438">
        <v>0.51</v>
      </c>
      <c r="AB24" s="145"/>
      <c r="AC24" s="145"/>
      <c r="AD24" s="439"/>
      <c r="AE24" s="438">
        <v>0.52</v>
      </c>
      <c r="AF24" s="145"/>
      <c r="AG24" s="145"/>
      <c r="AH24" s="439"/>
      <c r="AI24" s="832"/>
      <c r="AJ24" s="1298" t="s">
        <v>113</v>
      </c>
      <c r="AK24" s="1054"/>
      <c r="AL24" s="849"/>
      <c r="AM24" s="850"/>
      <c r="AN24" s="850"/>
      <c r="AO24" s="851"/>
      <c r="AP24" s="849"/>
      <c r="AQ24" s="850"/>
      <c r="AR24" s="850"/>
      <c r="AS24" s="851"/>
      <c r="AT24" s="849"/>
      <c r="AU24" s="850"/>
      <c r="AV24" s="850"/>
      <c r="AW24" s="851"/>
      <c r="AX24" s="849"/>
      <c r="AY24" s="850"/>
      <c r="AZ24" s="850"/>
      <c r="BA24" s="851"/>
      <c r="BB24" s="849"/>
      <c r="BC24" s="850"/>
      <c r="BD24" s="850"/>
      <c r="BE24" s="851"/>
      <c r="BF24" s="1023"/>
      <c r="BG24" s="1026"/>
      <c r="BH24" s="1026"/>
      <c r="BI24" s="1027"/>
      <c r="BJ24" s="1178"/>
      <c r="BK24" s="1178"/>
      <c r="BL24" s="758"/>
    </row>
    <row r="25" spans="1:64" s="3" customFormat="1" ht="14.25" customHeight="1" x14ac:dyDescent="0.25">
      <c r="A25" s="1291"/>
      <c r="B25" s="133" t="s">
        <v>116</v>
      </c>
      <c r="C25" s="145">
        <v>0.47</v>
      </c>
      <c r="D25" s="204">
        <v>0.49299999999999999</v>
      </c>
      <c r="E25" s="148" t="s">
        <v>115</v>
      </c>
      <c r="F25" s="1305"/>
      <c r="G25" s="139"/>
      <c r="H25" s="139"/>
      <c r="I25" s="454"/>
      <c r="J25" s="1299"/>
      <c r="K25" s="203">
        <v>0.5</v>
      </c>
      <c r="L25" s="145"/>
      <c r="M25" s="145"/>
      <c r="N25" s="204"/>
      <c r="O25" s="438">
        <v>0.51</v>
      </c>
      <c r="P25" s="145"/>
      <c r="Q25" s="145"/>
      <c r="R25" s="439"/>
      <c r="S25" s="438">
        <v>0.52</v>
      </c>
      <c r="T25" s="145"/>
      <c r="U25" s="145"/>
      <c r="V25" s="439"/>
      <c r="W25" s="438">
        <v>0.53</v>
      </c>
      <c r="X25" s="145"/>
      <c r="Y25" s="145"/>
      <c r="Z25" s="439"/>
      <c r="AA25" s="438">
        <v>0.54</v>
      </c>
      <c r="AB25" s="145"/>
      <c r="AC25" s="145"/>
      <c r="AD25" s="439"/>
      <c r="AE25" s="438">
        <v>0.56000000000000005</v>
      </c>
      <c r="AF25" s="145"/>
      <c r="AG25" s="145"/>
      <c r="AH25" s="439"/>
      <c r="AI25" s="139"/>
      <c r="AJ25" s="1299"/>
      <c r="AK25" s="834"/>
      <c r="AL25" s="849"/>
      <c r="AM25" s="138"/>
      <c r="AN25" s="138"/>
      <c r="AO25" s="709"/>
      <c r="AP25" s="849"/>
      <c r="AQ25" s="138"/>
      <c r="AR25" s="138"/>
      <c r="AS25" s="709"/>
      <c r="AT25" s="849"/>
      <c r="AU25" s="138"/>
      <c r="AV25" s="138"/>
      <c r="AW25" s="709"/>
      <c r="AX25" s="849"/>
      <c r="AY25" s="138"/>
      <c r="AZ25" s="138"/>
      <c r="BA25" s="709"/>
      <c r="BB25" s="849"/>
      <c r="BC25" s="138"/>
      <c r="BD25" s="138"/>
      <c r="BE25" s="709"/>
      <c r="BF25" s="1023"/>
      <c r="BG25" s="1024"/>
      <c r="BH25" s="1024"/>
      <c r="BI25" s="1025"/>
      <c r="BJ25" s="1178"/>
      <c r="BK25" s="1178"/>
      <c r="BL25" s="758"/>
    </row>
    <row r="26" spans="1:64" s="3" customFormat="1" ht="14.25" customHeight="1" thickBot="1" x14ac:dyDescent="0.3">
      <c r="A26" s="1279"/>
      <c r="B26" s="429" t="s">
        <v>190</v>
      </c>
      <c r="C26" s="430">
        <v>0.5</v>
      </c>
      <c r="D26" s="431">
        <v>0.5</v>
      </c>
      <c r="E26" s="150" t="s">
        <v>117</v>
      </c>
      <c r="F26" s="1306"/>
      <c r="G26" s="139"/>
      <c r="H26" s="139"/>
      <c r="I26" s="454"/>
      <c r="J26" s="1300"/>
      <c r="K26" s="203">
        <v>0.56999999999999995</v>
      </c>
      <c r="L26" s="147"/>
      <c r="M26" s="147"/>
      <c r="N26" s="205"/>
      <c r="O26" s="438">
        <v>0.57999999999999996</v>
      </c>
      <c r="P26" s="145"/>
      <c r="Q26" s="145"/>
      <c r="R26" s="439"/>
      <c r="S26" s="438">
        <v>0.6</v>
      </c>
      <c r="T26" s="145"/>
      <c r="U26" s="145"/>
      <c r="V26" s="439"/>
      <c r="W26" s="438">
        <v>0.61</v>
      </c>
      <c r="X26" s="145"/>
      <c r="Y26" s="145"/>
      <c r="Z26" s="439"/>
      <c r="AA26" s="438">
        <v>0.62</v>
      </c>
      <c r="AB26" s="145"/>
      <c r="AC26" s="145"/>
      <c r="AD26" s="439"/>
      <c r="AE26" s="438">
        <v>0.63</v>
      </c>
      <c r="AF26" s="145"/>
      <c r="AG26" s="145"/>
      <c r="AH26" s="439"/>
      <c r="AI26" s="139"/>
      <c r="AJ26" s="1300"/>
      <c r="AK26" s="834"/>
      <c r="AL26" s="849"/>
      <c r="AM26" s="852"/>
      <c r="AN26" s="852"/>
      <c r="AO26" s="853"/>
      <c r="AP26" s="849"/>
      <c r="AQ26" s="852"/>
      <c r="AR26" s="852"/>
      <c r="AS26" s="853"/>
      <c r="AT26" s="849"/>
      <c r="AU26" s="852"/>
      <c r="AV26" s="852"/>
      <c r="AW26" s="853"/>
      <c r="AX26" s="849"/>
      <c r="AY26" s="852"/>
      <c r="AZ26" s="852"/>
      <c r="BA26" s="853"/>
      <c r="BB26" s="849"/>
      <c r="BC26" s="852"/>
      <c r="BD26" s="852"/>
      <c r="BE26" s="853"/>
      <c r="BF26" s="1023"/>
      <c r="BG26" s="1028"/>
      <c r="BH26" s="1028"/>
      <c r="BI26" s="1029"/>
      <c r="BJ26" s="1178"/>
      <c r="BK26" s="1178"/>
      <c r="BL26" s="758"/>
    </row>
    <row r="27" spans="1:64" ht="14.4" x14ac:dyDescent="0.25">
      <c r="A27" s="1278" t="s">
        <v>27</v>
      </c>
      <c r="B27" s="151" t="s">
        <v>16</v>
      </c>
      <c r="C27" s="219">
        <v>0.19600000000000001</v>
      </c>
      <c r="D27" s="153">
        <v>0.02</v>
      </c>
      <c r="E27" s="132"/>
      <c r="F27" s="132"/>
      <c r="G27" s="132"/>
      <c r="H27" s="132"/>
      <c r="I27" s="444"/>
      <c r="J27" s="132"/>
      <c r="K27" s="273">
        <v>0.20399999999999999</v>
      </c>
      <c r="L27" s="72"/>
      <c r="M27" s="72"/>
      <c r="N27" s="73"/>
      <c r="O27" s="273">
        <v>0.20799999999999999</v>
      </c>
      <c r="P27" s="72"/>
      <c r="Q27" s="72"/>
      <c r="R27" s="73"/>
      <c r="S27" s="273">
        <v>0.21199999999999999</v>
      </c>
      <c r="T27" s="72"/>
      <c r="U27" s="72"/>
      <c r="V27" s="73"/>
      <c r="W27" s="273">
        <v>0.216</v>
      </c>
      <c r="X27" s="72"/>
      <c r="Y27" s="72"/>
      <c r="Z27" s="73"/>
      <c r="AA27" s="273">
        <v>0.22</v>
      </c>
      <c r="AB27" s="72"/>
      <c r="AC27" s="72"/>
      <c r="AD27" s="73"/>
      <c r="AE27" s="273">
        <v>0.224</v>
      </c>
      <c r="AF27" s="694"/>
      <c r="AG27" s="152"/>
      <c r="AH27" s="153"/>
      <c r="AI27" s="834"/>
      <c r="AJ27" s="132"/>
      <c r="AK27" s="132"/>
      <c r="AL27" s="873">
        <v>0.224</v>
      </c>
      <c r="AM27" s="42">
        <v>0.224</v>
      </c>
      <c r="AN27" s="42"/>
      <c r="AO27" s="43"/>
      <c r="AP27" s="273">
        <v>0.224</v>
      </c>
      <c r="AQ27" s="72"/>
      <c r="AR27" s="72"/>
      <c r="AS27" s="73"/>
      <c r="AT27" s="873">
        <v>0.224</v>
      </c>
      <c r="AU27" s="42"/>
      <c r="AV27" s="42"/>
      <c r="AW27" s="43"/>
      <c r="AX27" s="873">
        <v>0.224</v>
      </c>
      <c r="AY27" s="42"/>
      <c r="AZ27" s="42"/>
      <c r="BA27" s="43"/>
      <c r="BB27" s="873">
        <v>0.224</v>
      </c>
      <c r="BC27" s="42"/>
      <c r="BD27" s="42"/>
      <c r="BE27" s="43"/>
      <c r="BF27" s="1124">
        <v>0.224</v>
      </c>
      <c r="BG27" s="1125"/>
      <c r="BH27" s="1125"/>
      <c r="BI27" s="1126"/>
      <c r="BJ27" s="1179">
        <f>+($BN$3-BF27)/BF27</f>
        <v>1.3660714285714288</v>
      </c>
      <c r="BK27" s="1179"/>
      <c r="BL27" s="1164"/>
    </row>
    <row r="28" spans="1:64" ht="16.8" thickBot="1" x14ac:dyDescent="0.4">
      <c r="A28" s="1279"/>
      <c r="B28" s="140" t="s">
        <v>41</v>
      </c>
      <c r="C28" s="154">
        <v>0.28000000000000003</v>
      </c>
      <c r="D28" s="155">
        <v>2.8500000000000001E-2</v>
      </c>
      <c r="E28" s="156"/>
      <c r="F28" s="157"/>
      <c r="G28" s="157"/>
      <c r="H28" s="157"/>
      <c r="I28" s="446"/>
      <c r="J28" s="157"/>
      <c r="K28" s="274">
        <v>0.29099999999999998</v>
      </c>
      <c r="L28" s="74"/>
      <c r="M28" s="74"/>
      <c r="N28" s="75"/>
      <c r="O28" s="274">
        <v>0.29699999999999999</v>
      </c>
      <c r="P28" s="74"/>
      <c r="Q28" s="74"/>
      <c r="R28" s="75"/>
      <c r="S28" s="274">
        <v>0.30299999999999999</v>
      </c>
      <c r="T28" s="74"/>
      <c r="U28" s="74"/>
      <c r="V28" s="75"/>
      <c r="W28" s="274">
        <v>0.309</v>
      </c>
      <c r="X28" s="74"/>
      <c r="Y28" s="74"/>
      <c r="Z28" s="75"/>
      <c r="AA28" s="274">
        <v>0.315</v>
      </c>
      <c r="AB28" s="74"/>
      <c r="AC28" s="74"/>
      <c r="AD28" s="75"/>
      <c r="AE28" s="274">
        <v>0.32100000000000001</v>
      </c>
      <c r="AF28" s="695"/>
      <c r="AG28" s="154"/>
      <c r="AH28" s="155"/>
      <c r="AI28" s="834"/>
      <c r="AJ28" s="157"/>
      <c r="AK28" s="157"/>
      <c r="AL28" s="874"/>
      <c r="AM28" s="875"/>
      <c r="AN28" s="875">
        <v>0.32100000000000001</v>
      </c>
      <c r="AO28" s="876">
        <v>0.32100000000000001</v>
      </c>
      <c r="AP28" s="274">
        <v>0.29699999999999999</v>
      </c>
      <c r="AQ28" s="74"/>
      <c r="AR28" s="74"/>
      <c r="AS28" s="75"/>
      <c r="AT28" s="874"/>
      <c r="AU28" s="875"/>
      <c r="AV28" s="875">
        <v>0.32100000000000001</v>
      </c>
      <c r="AW28" s="876">
        <v>0.32100000000000001</v>
      </c>
      <c r="AX28" s="874"/>
      <c r="AY28" s="875"/>
      <c r="AZ28" s="875" t="s">
        <v>252</v>
      </c>
      <c r="BA28" s="876">
        <v>0.32100000000000001</v>
      </c>
      <c r="BB28" s="874"/>
      <c r="BC28" s="875"/>
      <c r="BD28" s="875" t="s">
        <v>253</v>
      </c>
      <c r="BE28" s="876" t="s">
        <v>253</v>
      </c>
      <c r="BF28" s="1127"/>
      <c r="BG28" s="1128"/>
      <c r="BH28" s="1128" t="s">
        <v>254</v>
      </c>
      <c r="BI28" s="1129" t="s">
        <v>254</v>
      </c>
      <c r="BJ28" s="1179">
        <f>+($BN$3-0.37)/0.37</f>
        <v>0.43243243243243251</v>
      </c>
      <c r="BK28" s="1179"/>
      <c r="BL28" s="1164"/>
    </row>
    <row r="29" spans="1:64" x14ac:dyDescent="0.25">
      <c r="A29" s="1278" t="s">
        <v>26</v>
      </c>
      <c r="B29" s="158" t="s">
        <v>31</v>
      </c>
      <c r="C29" s="221">
        <v>9.4E-2</v>
      </c>
      <c r="D29" s="160">
        <v>9.6000000000000002E-2</v>
      </c>
      <c r="E29" s="157"/>
      <c r="F29" s="157"/>
      <c r="G29" s="157"/>
      <c r="H29" s="157"/>
      <c r="I29" s="446"/>
      <c r="J29" s="157"/>
      <c r="K29" s="206">
        <v>0.104</v>
      </c>
      <c r="L29" s="159"/>
      <c r="M29" s="159"/>
      <c r="N29" s="160"/>
      <c r="O29" s="206">
        <v>0.112</v>
      </c>
      <c r="P29" s="159"/>
      <c r="Q29" s="159"/>
      <c r="R29" s="160"/>
      <c r="S29" s="206">
        <v>0.121</v>
      </c>
      <c r="T29" s="159"/>
      <c r="U29" s="159"/>
      <c r="V29" s="160"/>
      <c r="W29" s="206">
        <v>0.13100000000000001</v>
      </c>
      <c r="X29" s="159"/>
      <c r="Y29" s="159"/>
      <c r="Z29" s="160"/>
      <c r="AA29" s="206">
        <v>0.14099999999999999</v>
      </c>
      <c r="AB29" s="159"/>
      <c r="AC29" s="159"/>
      <c r="AD29" s="160"/>
      <c r="AE29" s="206">
        <v>0.152</v>
      </c>
      <c r="AF29" s="696"/>
      <c r="AG29" s="159"/>
      <c r="AH29" s="160"/>
      <c r="AI29" s="834"/>
      <c r="AJ29" s="897" t="s">
        <v>31</v>
      </c>
      <c r="AK29" s="1055"/>
      <c r="AL29" s="888">
        <v>0.13700000000000001</v>
      </c>
      <c r="AM29" s="92"/>
      <c r="AN29" s="92"/>
      <c r="AO29" s="93"/>
      <c r="AP29" s="888">
        <v>0.13700000000000001</v>
      </c>
      <c r="AQ29" s="92"/>
      <c r="AR29" s="92"/>
      <c r="AS29" s="93"/>
      <c r="AT29" s="888">
        <v>0.13700000000000001</v>
      </c>
      <c r="AU29" s="92"/>
      <c r="AV29" s="92"/>
      <c r="AW29" s="93"/>
      <c r="AX29" s="888">
        <v>0.13700000000000001</v>
      </c>
      <c r="AY29" s="92"/>
      <c r="AZ29" s="92"/>
      <c r="BA29" s="93"/>
      <c r="BB29" s="888">
        <v>0.13700000000000001</v>
      </c>
      <c r="BC29" s="92"/>
      <c r="BD29" s="92"/>
      <c r="BE29" s="93"/>
      <c r="BF29" s="1101">
        <v>0.25</v>
      </c>
      <c r="BG29" s="1130"/>
      <c r="BH29" s="1130"/>
      <c r="BI29" s="1131"/>
      <c r="BJ29" s="1180">
        <f>+($BN$3-BF29)/BF29</f>
        <v>1.1200000000000001</v>
      </c>
      <c r="BK29" s="1180"/>
      <c r="BL29" s="1164">
        <f>+(BF29-BB29)/BB29</f>
        <v>0.82481751824817506</v>
      </c>
    </row>
    <row r="30" spans="1:64" x14ac:dyDescent="0.25">
      <c r="A30" s="1280"/>
      <c r="B30" s="138" t="s">
        <v>38</v>
      </c>
      <c r="C30" s="161">
        <v>0.189</v>
      </c>
      <c r="D30" s="162">
        <v>0.191</v>
      </c>
      <c r="E30" s="157"/>
      <c r="F30" s="157"/>
      <c r="G30" s="157"/>
      <c r="H30" s="157"/>
      <c r="I30" s="446"/>
      <c r="J30" s="157"/>
      <c r="K30" s="207">
        <v>0.22800000000000001</v>
      </c>
      <c r="L30" s="161"/>
      <c r="M30" s="161"/>
      <c r="N30" s="162"/>
      <c r="O30" s="207">
        <v>0.24199999999999999</v>
      </c>
      <c r="P30" s="161"/>
      <c r="Q30" s="161"/>
      <c r="R30" s="162"/>
      <c r="S30" s="207">
        <v>0.25600000000000001</v>
      </c>
      <c r="T30" s="161"/>
      <c r="U30" s="161"/>
      <c r="V30" s="162"/>
      <c r="W30" s="207">
        <v>0.27200000000000002</v>
      </c>
      <c r="X30" s="161"/>
      <c r="Y30" s="161"/>
      <c r="Z30" s="162"/>
      <c r="AA30" s="207">
        <v>0.28799999999999998</v>
      </c>
      <c r="AB30" s="161"/>
      <c r="AC30" s="161"/>
      <c r="AD30" s="162"/>
      <c r="AE30" s="207">
        <v>0.30599999999999999</v>
      </c>
      <c r="AF30" s="697"/>
      <c r="AG30" s="161"/>
      <c r="AH30" s="162"/>
      <c r="AI30" s="834"/>
      <c r="AJ30" s="898" t="s">
        <v>38</v>
      </c>
      <c r="AK30" s="1056"/>
      <c r="AL30" s="894"/>
      <c r="AM30" s="889">
        <v>0.27500000000000002</v>
      </c>
      <c r="AN30" s="889"/>
      <c r="AO30" s="896"/>
      <c r="AP30" s="894"/>
      <c r="AQ30" s="889">
        <v>0.27500000000000002</v>
      </c>
      <c r="AR30" s="889"/>
      <c r="AS30" s="896"/>
      <c r="AT30" s="894"/>
      <c r="AU30" s="889">
        <v>0.27500000000000002</v>
      </c>
      <c r="AV30" s="889"/>
      <c r="AW30" s="896"/>
      <c r="AX30" s="894"/>
      <c r="AY30" s="889">
        <v>0.27500000000000002</v>
      </c>
      <c r="AZ30" s="889"/>
      <c r="BA30" s="896"/>
      <c r="BB30" s="894"/>
      <c r="BC30" s="889">
        <v>0.27500000000000002</v>
      </c>
      <c r="BD30" s="889"/>
      <c r="BE30" s="896"/>
      <c r="BF30" s="1132"/>
      <c r="BG30" s="1133">
        <v>0.35799999999999998</v>
      </c>
      <c r="BH30" s="1133"/>
      <c r="BI30" s="1134"/>
      <c r="BJ30" s="1180">
        <f>+($BN$3-BG30)/BG30</f>
        <v>0.48044692737430184</v>
      </c>
      <c r="BK30" s="1180"/>
      <c r="BL30" s="1164">
        <f>+(BG30-BC30)/BC30</f>
        <v>0.30181818181818165</v>
      </c>
    </row>
    <row r="31" spans="1:64" x14ac:dyDescent="0.25">
      <c r="A31" s="1280"/>
      <c r="B31" s="138" t="s">
        <v>39</v>
      </c>
      <c r="C31" s="161">
        <v>0.33900000000000002</v>
      </c>
      <c r="D31" s="162">
        <v>0.34399999999999997</v>
      </c>
      <c r="E31" s="157"/>
      <c r="F31" s="157"/>
      <c r="G31" s="157"/>
      <c r="H31" s="157"/>
      <c r="I31" s="446"/>
      <c r="J31" s="157"/>
      <c r="K31" s="207">
        <v>0.36499999999999999</v>
      </c>
      <c r="L31" s="161"/>
      <c r="M31" s="161"/>
      <c r="N31" s="162"/>
      <c r="O31" s="207">
        <v>0.38700000000000001</v>
      </c>
      <c r="P31" s="161"/>
      <c r="Q31" s="161"/>
      <c r="R31" s="162"/>
      <c r="S31" s="207">
        <v>0.41</v>
      </c>
      <c r="T31" s="161"/>
      <c r="U31" s="161"/>
      <c r="V31" s="162"/>
      <c r="W31" s="207">
        <v>0.435</v>
      </c>
      <c r="X31" s="161"/>
      <c r="Y31" s="161"/>
      <c r="Z31" s="162"/>
      <c r="AA31" s="207">
        <v>0.46100000000000002</v>
      </c>
      <c r="AB31" s="161"/>
      <c r="AC31" s="161"/>
      <c r="AD31" s="162"/>
      <c r="AE31" s="207">
        <v>0.48899999999999999</v>
      </c>
      <c r="AF31" s="697"/>
      <c r="AG31" s="161"/>
      <c r="AH31" s="162"/>
      <c r="AI31" s="834"/>
      <c r="AJ31" s="898" t="s">
        <v>39</v>
      </c>
      <c r="AK31" s="1056"/>
      <c r="AL31" s="894"/>
      <c r="AM31" s="889"/>
      <c r="AN31" s="889">
        <v>0.44</v>
      </c>
      <c r="AO31" s="896"/>
      <c r="AP31" s="894"/>
      <c r="AQ31" s="889"/>
      <c r="AR31" s="889">
        <v>0.44</v>
      </c>
      <c r="AS31" s="896"/>
      <c r="AT31" s="894"/>
      <c r="AU31" s="889"/>
      <c r="AV31" s="889">
        <v>0.44</v>
      </c>
      <c r="AW31" s="896"/>
      <c r="AX31" s="894"/>
      <c r="AY31" s="889"/>
      <c r="AZ31" s="889">
        <v>0.44</v>
      </c>
      <c r="BA31" s="896"/>
      <c r="BB31" s="894"/>
      <c r="BC31" s="889"/>
      <c r="BD31" s="889">
        <v>0.44</v>
      </c>
      <c r="BE31" s="896"/>
      <c r="BF31" s="1132"/>
      <c r="BG31" s="1133"/>
      <c r="BH31" s="1133">
        <v>0.44</v>
      </c>
      <c r="BI31" s="1134"/>
      <c r="BJ31" s="1180">
        <f>+($BN$3-BH31)/BH31</f>
        <v>0.20454545454545461</v>
      </c>
      <c r="BK31" s="1180"/>
      <c r="BL31" s="1164">
        <f>+(BH31-BD31)/BD31</f>
        <v>0</v>
      </c>
    </row>
    <row r="32" spans="1:64" ht="16.2" thickBot="1" x14ac:dyDescent="0.35">
      <c r="A32" s="1279"/>
      <c r="B32" s="140" t="s">
        <v>40</v>
      </c>
      <c r="C32" s="163">
        <v>0.48499999999999999</v>
      </c>
      <c r="D32" s="164">
        <v>0.49299999999999999</v>
      </c>
      <c r="E32" s="165"/>
      <c r="F32" s="132"/>
      <c r="G32" s="132"/>
      <c r="H32" s="132"/>
      <c r="I32" s="444"/>
      <c r="J32" s="132"/>
      <c r="K32" s="208">
        <v>0.55200000000000005</v>
      </c>
      <c r="L32" s="163"/>
      <c r="M32" s="163"/>
      <c r="N32" s="164"/>
      <c r="O32" s="208">
        <v>0.61799999999999999</v>
      </c>
      <c r="P32" s="163"/>
      <c r="Q32" s="163"/>
      <c r="R32" s="164"/>
      <c r="S32" s="208">
        <v>0.69199999999999995</v>
      </c>
      <c r="T32" s="163"/>
      <c r="U32" s="163"/>
      <c r="V32" s="164"/>
      <c r="W32" s="208">
        <v>0.77500000000000002</v>
      </c>
      <c r="X32" s="163"/>
      <c r="Y32" s="163"/>
      <c r="Z32" s="164"/>
      <c r="AA32" s="208">
        <v>0.86799999999999999</v>
      </c>
      <c r="AB32" s="163"/>
      <c r="AC32" s="163"/>
      <c r="AD32" s="164"/>
      <c r="AE32" s="208">
        <v>0.97199999999999998</v>
      </c>
      <c r="AF32" s="698"/>
      <c r="AG32" s="163"/>
      <c r="AH32" s="164"/>
      <c r="AI32" s="834"/>
      <c r="AJ32" s="899" t="s">
        <v>40</v>
      </c>
      <c r="AK32" s="1057"/>
      <c r="AL32" s="895"/>
      <c r="AM32" s="890"/>
      <c r="AN32" s="890"/>
      <c r="AO32" s="891">
        <v>0.875</v>
      </c>
      <c r="AP32" s="895"/>
      <c r="AQ32" s="890"/>
      <c r="AR32" s="890"/>
      <c r="AS32" s="891">
        <v>0.875</v>
      </c>
      <c r="AT32" s="895"/>
      <c r="AU32" s="890"/>
      <c r="AV32" s="890"/>
      <c r="AW32" s="891">
        <v>0.875</v>
      </c>
      <c r="AX32" s="895"/>
      <c r="AY32" s="890"/>
      <c r="AZ32" s="890"/>
      <c r="BA32" s="891">
        <v>0.875</v>
      </c>
      <c r="BB32" s="895"/>
      <c r="BC32" s="890"/>
      <c r="BD32" s="890"/>
      <c r="BE32" s="891">
        <v>0.875</v>
      </c>
      <c r="BF32" s="1135"/>
      <c r="BG32" s="1136"/>
      <c r="BH32" s="1136"/>
      <c r="BI32" s="1137">
        <v>0.875</v>
      </c>
      <c r="BJ32" s="1180">
        <f>+(BP3-BI32)/BI32</f>
        <v>0.21142857142857149</v>
      </c>
      <c r="BK32" s="1180"/>
      <c r="BL32" s="1164">
        <v>0</v>
      </c>
    </row>
    <row r="33" spans="1:64" ht="39.6" x14ac:dyDescent="0.3">
      <c r="A33" s="1278" t="s">
        <v>28</v>
      </c>
      <c r="B33" s="151" t="s">
        <v>31</v>
      </c>
      <c r="C33" s="166">
        <v>0.182</v>
      </c>
      <c r="D33" s="167">
        <v>0.182</v>
      </c>
      <c r="E33" s="165"/>
      <c r="F33" s="132"/>
      <c r="G33" s="132"/>
      <c r="H33" s="132"/>
      <c r="I33" s="444"/>
      <c r="J33" s="132"/>
      <c r="K33" s="209">
        <v>0.182</v>
      </c>
      <c r="L33" s="166"/>
      <c r="M33" s="166"/>
      <c r="N33" s="167"/>
      <c r="O33" s="209">
        <f>+K33</f>
        <v>0.182</v>
      </c>
      <c r="P33" s="166"/>
      <c r="Q33" s="166"/>
      <c r="R33" s="167"/>
      <c r="S33" s="209">
        <f>+O33</f>
        <v>0.182</v>
      </c>
      <c r="T33" s="166"/>
      <c r="U33" s="166"/>
      <c r="V33" s="167"/>
      <c r="W33" s="209">
        <f>+S33</f>
        <v>0.182</v>
      </c>
      <c r="X33" s="166"/>
      <c r="Y33" s="166"/>
      <c r="Z33" s="167"/>
      <c r="AA33" s="209">
        <f>+W33</f>
        <v>0.182</v>
      </c>
      <c r="AB33" s="166"/>
      <c r="AC33" s="166"/>
      <c r="AD33" s="167"/>
      <c r="AE33" s="209">
        <f>+AA33</f>
        <v>0.182</v>
      </c>
      <c r="AF33" s="699"/>
      <c r="AG33" s="166"/>
      <c r="AH33" s="167"/>
      <c r="AI33" s="834"/>
      <c r="AJ33" s="973" t="s">
        <v>229</v>
      </c>
      <c r="AK33" s="1034"/>
      <c r="AL33" s="960">
        <v>0.182</v>
      </c>
      <c r="AM33" s="166"/>
      <c r="AN33" s="166"/>
      <c r="AO33" s="167"/>
      <c r="AP33" s="960">
        <v>0.182</v>
      </c>
      <c r="AQ33" s="166"/>
      <c r="AR33" s="166"/>
      <c r="AS33" s="167"/>
      <c r="AT33" s="960">
        <v>0.182</v>
      </c>
      <c r="AU33" s="166"/>
      <c r="AV33" s="166"/>
      <c r="AW33" s="167"/>
      <c r="AX33" s="960">
        <v>0.182</v>
      </c>
      <c r="AY33" s="166"/>
      <c r="AZ33" s="166"/>
      <c r="BA33" s="167"/>
      <c r="BB33" s="960">
        <v>0.182</v>
      </c>
      <c r="BC33" s="166"/>
      <c r="BD33" s="166"/>
      <c r="BE33" s="167"/>
      <c r="BF33" s="1091">
        <v>0.182</v>
      </c>
      <c r="BG33" s="166"/>
      <c r="BH33" s="166"/>
      <c r="BI33" s="167"/>
      <c r="BJ33" s="1181">
        <f>+($BN$3-BF33)/BF33</f>
        <v>1.9120879120879124</v>
      </c>
      <c r="BK33" s="1182"/>
      <c r="BL33" s="1164"/>
    </row>
    <row r="34" spans="1:64" x14ac:dyDescent="0.25">
      <c r="A34" s="1280"/>
      <c r="B34" s="138" t="s">
        <v>32</v>
      </c>
      <c r="C34" s="168">
        <v>9.0800000000000006E-2</v>
      </c>
      <c r="D34" s="169">
        <v>9.0800000000000006E-2</v>
      </c>
      <c r="E34" s="170"/>
      <c r="F34" s="170"/>
      <c r="G34" s="170"/>
      <c r="H34" s="170"/>
      <c r="I34" s="445"/>
      <c r="J34" s="170"/>
      <c r="K34" s="210">
        <f>0.0908+0.00176</f>
        <v>9.2560000000000003E-2</v>
      </c>
      <c r="L34" s="168"/>
      <c r="M34" s="168"/>
      <c r="N34" s="169"/>
      <c r="O34" s="210">
        <f>+K34+0.00176</f>
        <v>9.4320000000000001E-2</v>
      </c>
      <c r="P34" s="168"/>
      <c r="Q34" s="168"/>
      <c r="R34" s="169"/>
      <c r="S34" s="210">
        <f>+O34+0.00176</f>
        <v>9.6079999999999999E-2</v>
      </c>
      <c r="T34" s="168"/>
      <c r="U34" s="168"/>
      <c r="V34" s="169"/>
      <c r="W34" s="210">
        <f>+S34+0.00176</f>
        <v>9.7839999999999996E-2</v>
      </c>
      <c r="X34" s="168"/>
      <c r="Y34" s="168"/>
      <c r="Z34" s="169"/>
      <c r="AA34" s="398">
        <f>+W34+0.00176</f>
        <v>9.9599999999999994E-2</v>
      </c>
      <c r="AB34" s="168"/>
      <c r="AC34" s="168"/>
      <c r="AD34" s="169"/>
      <c r="AE34" s="398">
        <f>+AA34</f>
        <v>9.9599999999999994E-2</v>
      </c>
      <c r="AF34" s="168"/>
      <c r="AG34" s="168"/>
      <c r="AH34" s="169"/>
      <c r="AI34" s="139"/>
      <c r="AJ34" s="974" t="s">
        <v>231</v>
      </c>
      <c r="AK34" s="1035"/>
      <c r="AL34" s="979">
        <v>9.9599999999999994E-2</v>
      </c>
      <c r="AM34" s="168"/>
      <c r="AN34" s="168"/>
      <c r="AO34" s="169"/>
      <c r="AP34" s="979">
        <v>9.9599999999999994E-2</v>
      </c>
      <c r="AQ34" s="168"/>
      <c r="AR34" s="168"/>
      <c r="AS34" s="169"/>
      <c r="AT34" s="979">
        <v>9.9599999999999994E-2</v>
      </c>
      <c r="AU34" s="168"/>
      <c r="AV34" s="168"/>
      <c r="AW34" s="169"/>
      <c r="AX34" s="979">
        <v>9.9599999999999994E-2</v>
      </c>
      <c r="AY34" s="168"/>
      <c r="AZ34" s="168"/>
      <c r="BA34" s="169"/>
      <c r="BB34" s="979">
        <v>9.9599999999999994E-2</v>
      </c>
      <c r="BC34" s="168"/>
      <c r="BD34" s="168"/>
      <c r="BE34" s="169"/>
      <c r="BF34" s="1138">
        <v>9.9599999999999994E-2</v>
      </c>
      <c r="BG34" s="168"/>
      <c r="BH34" s="168"/>
      <c r="BI34" s="169"/>
      <c r="BJ34" s="1181">
        <f>+($BN$3-BF34)/BF34</f>
        <v>4.3212851405622494</v>
      </c>
      <c r="BK34" s="1182"/>
      <c r="BL34" s="1164"/>
    </row>
    <row r="35" spans="1:64" ht="52.8" x14ac:dyDescent="0.25">
      <c r="A35" s="1280"/>
      <c r="B35" s="138" t="s">
        <v>33</v>
      </c>
      <c r="C35" s="168">
        <v>0.249</v>
      </c>
      <c r="D35" s="169">
        <v>0.249</v>
      </c>
      <c r="E35" s="170"/>
      <c r="F35" s="170"/>
      <c r="G35" s="170"/>
      <c r="H35" s="170"/>
      <c r="I35" s="445"/>
      <c r="J35" s="170"/>
      <c r="K35" s="210">
        <v>0.249</v>
      </c>
      <c r="L35" s="168"/>
      <c r="M35" s="168"/>
      <c r="N35" s="169"/>
      <c r="O35" s="210">
        <f>+K35</f>
        <v>0.249</v>
      </c>
      <c r="P35" s="168"/>
      <c r="Q35" s="168"/>
      <c r="R35" s="169"/>
      <c r="S35" s="210">
        <f>+O35</f>
        <v>0.249</v>
      </c>
      <c r="T35" s="168"/>
      <c r="U35" s="168"/>
      <c r="V35" s="169"/>
      <c r="W35" s="210">
        <f>+S35</f>
        <v>0.249</v>
      </c>
      <c r="X35" s="168"/>
      <c r="Y35" s="168"/>
      <c r="Z35" s="169"/>
      <c r="AA35" s="210">
        <f>+W35</f>
        <v>0.249</v>
      </c>
      <c r="AB35" s="168"/>
      <c r="AC35" s="168"/>
      <c r="AD35" s="169"/>
      <c r="AE35" s="210">
        <f>+AA35</f>
        <v>0.249</v>
      </c>
      <c r="AF35" s="168"/>
      <c r="AG35" s="168"/>
      <c r="AH35" s="169"/>
      <c r="AI35" s="139"/>
      <c r="AJ35" s="974" t="s">
        <v>230</v>
      </c>
      <c r="AK35" s="1035"/>
      <c r="AL35" s="210"/>
      <c r="AM35" s="959">
        <v>0.249</v>
      </c>
      <c r="AN35" s="168"/>
      <c r="AO35" s="169"/>
      <c r="AP35" s="210"/>
      <c r="AQ35" s="959">
        <v>0.249</v>
      </c>
      <c r="AR35" s="168"/>
      <c r="AS35" s="169"/>
      <c r="AT35" s="210"/>
      <c r="AU35" s="959">
        <v>0.249</v>
      </c>
      <c r="AV35" s="168"/>
      <c r="AW35" s="169"/>
      <c r="AX35" s="210"/>
      <c r="AY35" s="959">
        <v>0.249</v>
      </c>
      <c r="AZ35" s="168"/>
      <c r="BA35" s="169"/>
      <c r="BB35" s="210"/>
      <c r="BC35" s="959">
        <v>0.249</v>
      </c>
      <c r="BD35" s="168"/>
      <c r="BE35" s="169"/>
      <c r="BF35" s="210"/>
      <c r="BG35" s="1093">
        <v>0.249</v>
      </c>
      <c r="BH35" s="1139"/>
      <c r="BI35" s="1140"/>
      <c r="BJ35" s="1181">
        <f>+($BN$3-BG35)/BG35</f>
        <v>1.1285140562248996</v>
      </c>
      <c r="BK35" s="1183"/>
      <c r="BL35" s="1164"/>
    </row>
    <row r="36" spans="1:64" ht="13.8" thickBot="1" x14ac:dyDescent="0.3">
      <c r="A36" s="1279"/>
      <c r="B36" s="140" t="s">
        <v>15</v>
      </c>
      <c r="C36" s="171">
        <v>0.5</v>
      </c>
      <c r="D36" s="172">
        <v>0.5</v>
      </c>
      <c r="E36" s="157"/>
      <c r="F36" s="157"/>
      <c r="G36" s="170"/>
      <c r="H36" s="170"/>
      <c r="I36" s="446"/>
      <c r="J36" s="157"/>
      <c r="K36" s="211">
        <v>1</v>
      </c>
      <c r="L36" s="171"/>
      <c r="M36" s="171"/>
      <c r="N36" s="172"/>
      <c r="O36" s="211">
        <f>+K36</f>
        <v>1</v>
      </c>
      <c r="P36" s="171"/>
      <c r="Q36" s="171"/>
      <c r="R36" s="172"/>
      <c r="S36" s="211">
        <f>+O36</f>
        <v>1</v>
      </c>
      <c r="T36" s="171"/>
      <c r="U36" s="171"/>
      <c r="V36" s="172"/>
      <c r="W36" s="211">
        <f>+S36</f>
        <v>1</v>
      </c>
      <c r="X36" s="171"/>
      <c r="Y36" s="171"/>
      <c r="Z36" s="172"/>
      <c r="AA36" s="211">
        <f>+W36</f>
        <v>1</v>
      </c>
      <c r="AB36" s="171"/>
      <c r="AC36" s="171"/>
      <c r="AD36" s="172"/>
      <c r="AE36" s="211">
        <f>+AA36</f>
        <v>1</v>
      </c>
      <c r="AF36" s="399"/>
      <c r="AG36" s="171"/>
      <c r="AH36" s="172"/>
      <c r="AI36" s="835"/>
      <c r="AL36" s="980"/>
      <c r="AM36" s="171"/>
      <c r="AN36" s="171"/>
      <c r="AO36" s="981">
        <v>1</v>
      </c>
      <c r="AP36" s="980"/>
      <c r="AQ36" s="171"/>
      <c r="AR36" s="171"/>
      <c r="AS36" s="981">
        <v>1</v>
      </c>
      <c r="AT36" s="980"/>
      <c r="AU36" s="171"/>
      <c r="AV36" s="171"/>
      <c r="AW36" s="981">
        <v>1</v>
      </c>
      <c r="AX36" s="980"/>
      <c r="AY36" s="171"/>
      <c r="AZ36" s="171"/>
      <c r="BA36" s="981">
        <v>1</v>
      </c>
      <c r="BB36" s="980"/>
      <c r="BC36" s="171"/>
      <c r="BD36" s="171"/>
      <c r="BE36" s="981">
        <v>1</v>
      </c>
      <c r="BF36" s="980"/>
      <c r="BG36" s="1141"/>
      <c r="BH36" s="1141"/>
      <c r="BI36" s="1142">
        <v>1</v>
      </c>
      <c r="BJ36" s="1181">
        <f>+($BP$3-BI36)/BI36</f>
        <v>6.0000000000000053E-2</v>
      </c>
      <c r="BK36" s="1184"/>
      <c r="BL36" s="1164"/>
    </row>
    <row r="37" spans="1:64" ht="22.5" customHeight="1" x14ac:dyDescent="0.25">
      <c r="A37" s="1207" t="s">
        <v>29</v>
      </c>
      <c r="B37" s="133" t="s">
        <v>214</v>
      </c>
      <c r="C37" s="173">
        <v>0.08</v>
      </c>
      <c r="D37" s="223"/>
      <c r="E37" s="1283" t="s">
        <v>119</v>
      </c>
      <c r="F37" s="1284"/>
      <c r="G37" s="170"/>
      <c r="H37" s="170"/>
      <c r="I37" s="1307" t="s">
        <v>166</v>
      </c>
      <c r="J37" s="350" t="s">
        <v>154</v>
      </c>
      <c r="K37" s="348">
        <v>2.5999999999999999E-2</v>
      </c>
      <c r="L37" s="173"/>
      <c r="M37" s="173"/>
      <c r="N37" s="174"/>
      <c r="O37" s="173">
        <v>4.4999999999999998E-2</v>
      </c>
      <c r="P37" s="173"/>
      <c r="Q37" s="173"/>
      <c r="R37" s="174"/>
      <c r="S37" s="212">
        <v>6.3E-2</v>
      </c>
      <c r="T37" s="173"/>
      <c r="U37" s="173"/>
      <c r="V37" s="174"/>
      <c r="W37" s="212">
        <v>8.2000000000000003E-2</v>
      </c>
      <c r="X37" s="173"/>
      <c r="Y37" s="173"/>
      <c r="Z37" s="174"/>
      <c r="AA37" s="212">
        <v>6.3E-2</v>
      </c>
      <c r="AB37" s="173"/>
      <c r="AC37" s="173"/>
      <c r="AD37" s="174"/>
      <c r="AE37" s="212">
        <v>0.63</v>
      </c>
      <c r="AF37" s="700"/>
      <c r="AG37" s="173"/>
      <c r="AH37" s="174"/>
      <c r="AI37" s="836"/>
      <c r="AJ37" s="1264" t="s">
        <v>255</v>
      </c>
      <c r="AK37" s="1031"/>
      <c r="AL37" s="1061">
        <v>6.3E-2</v>
      </c>
      <c r="AM37" s="1062"/>
      <c r="AN37" s="1062"/>
      <c r="AO37" s="223"/>
      <c r="AP37" s="1061">
        <v>6.3E-2</v>
      </c>
      <c r="AQ37" s="1062"/>
      <c r="AR37" s="1062"/>
      <c r="AS37" s="223"/>
      <c r="AT37" s="1061">
        <v>6.3E-2</v>
      </c>
      <c r="AU37" s="1062"/>
      <c r="AV37" s="1062"/>
      <c r="AW37" s="223"/>
      <c r="AX37" s="1061">
        <v>6.3E-2</v>
      </c>
      <c r="AY37" s="1062"/>
      <c r="AZ37" s="1062"/>
      <c r="BA37" s="223"/>
      <c r="BB37" s="1061">
        <v>6.3E-2</v>
      </c>
      <c r="BC37" s="1062"/>
      <c r="BD37" s="1062"/>
      <c r="BE37" s="223"/>
      <c r="BF37" s="1143">
        <v>8.5000000000000006E-2</v>
      </c>
      <c r="BG37" s="1144"/>
      <c r="BH37" s="1144"/>
      <c r="BI37" s="1145"/>
      <c r="BJ37" s="1185">
        <f>+($BN$3-BF37)/BF37</f>
        <v>5.2352941176470589</v>
      </c>
      <c r="BK37" s="1185"/>
      <c r="BL37" s="1164">
        <f>+(BF37-BB37)/BB37</f>
        <v>0.3492063492063493</v>
      </c>
    </row>
    <row r="38" spans="1:64" ht="22.5" customHeight="1" x14ac:dyDescent="0.25">
      <c r="A38" s="1281"/>
      <c r="B38" s="133" t="s">
        <v>120</v>
      </c>
      <c r="C38" s="175" t="s">
        <v>121</v>
      </c>
      <c r="D38" s="176"/>
      <c r="E38" s="192" t="s">
        <v>122</v>
      </c>
      <c r="F38" s="448" t="s">
        <v>123</v>
      </c>
      <c r="G38" s="170"/>
      <c r="H38" s="170"/>
      <c r="I38" s="1308"/>
      <c r="J38" s="351" t="s">
        <v>156</v>
      </c>
      <c r="K38" s="349">
        <v>3.7999999999999999E-2</v>
      </c>
      <c r="L38" s="175"/>
      <c r="M38" s="175"/>
      <c r="N38" s="176"/>
      <c r="O38" s="175">
        <v>6.4000000000000001E-2</v>
      </c>
      <c r="P38" s="175"/>
      <c r="Q38" s="175"/>
      <c r="R38" s="176"/>
      <c r="S38" s="213">
        <v>8.8999999999999996E-2</v>
      </c>
      <c r="T38" s="175"/>
      <c r="U38" s="175"/>
      <c r="V38" s="176"/>
      <c r="W38" s="213">
        <v>0.115</v>
      </c>
      <c r="X38" s="175"/>
      <c r="Y38" s="175"/>
      <c r="Z38" s="176"/>
      <c r="AA38" s="213">
        <v>0.14000000000000001</v>
      </c>
      <c r="AB38" s="175"/>
      <c r="AC38" s="175"/>
      <c r="AD38" s="176"/>
      <c r="AE38" s="213">
        <v>0.14000000000000001</v>
      </c>
      <c r="AF38" s="701"/>
      <c r="AG38" s="175"/>
      <c r="AH38" s="176"/>
      <c r="AI38" s="837"/>
      <c r="AJ38" s="1265"/>
      <c r="AK38" s="1032"/>
      <c r="AL38" s="1060"/>
      <c r="AM38" s="1063">
        <v>6.3E-2</v>
      </c>
      <c r="AN38" s="1064"/>
      <c r="AO38" s="1065"/>
      <c r="AP38" s="1060"/>
      <c r="AQ38" s="1063">
        <v>6.3E-2</v>
      </c>
      <c r="AR38" s="1064"/>
      <c r="AS38" s="1065"/>
      <c r="AT38" s="1060"/>
      <c r="AU38" s="1063">
        <v>6.3E-2</v>
      </c>
      <c r="AV38" s="1064"/>
      <c r="AW38" s="1065"/>
      <c r="AX38" s="1060"/>
      <c r="AY38" s="1063">
        <v>6.3E-2</v>
      </c>
      <c r="AZ38" s="1064"/>
      <c r="BA38" s="1065"/>
      <c r="BB38" s="1060"/>
      <c r="BC38" s="1063">
        <v>6.3E-2</v>
      </c>
      <c r="BD38" s="1064"/>
      <c r="BE38" s="1065"/>
      <c r="BF38" s="1146"/>
      <c r="BG38" s="1147">
        <v>8.5000000000000006E-2</v>
      </c>
      <c r="BH38" s="1148"/>
      <c r="BI38" s="1149"/>
      <c r="BJ38" s="1185">
        <f>+($BN$3-BG38)/BG38</f>
        <v>5.2352941176470589</v>
      </c>
      <c r="BK38" s="1186"/>
      <c r="BL38" s="1164">
        <f>+(BG38-BC38)/BC38</f>
        <v>0.3492063492063493</v>
      </c>
    </row>
    <row r="39" spans="1:64" ht="22.5" customHeight="1" x14ac:dyDescent="0.25">
      <c r="A39" s="1281"/>
      <c r="B39" s="133" t="s">
        <v>124</v>
      </c>
      <c r="C39" s="175">
        <v>0.15</v>
      </c>
      <c r="D39" s="176"/>
      <c r="E39" s="177"/>
      <c r="F39" s="449"/>
      <c r="G39" s="170"/>
      <c r="H39" s="170"/>
      <c r="I39" s="1308"/>
      <c r="J39" s="351" t="s">
        <v>157</v>
      </c>
      <c r="K39" s="349">
        <v>5.1999999999999998E-2</v>
      </c>
      <c r="L39" s="175"/>
      <c r="M39" s="175"/>
      <c r="N39" s="176"/>
      <c r="O39" s="175">
        <v>8.8999999999999996E-2</v>
      </c>
      <c r="P39" s="175"/>
      <c r="Q39" s="175"/>
      <c r="R39" s="176"/>
      <c r="S39" s="213">
        <v>0.126</v>
      </c>
      <c r="T39" s="175"/>
      <c r="U39" s="175"/>
      <c r="V39" s="176"/>
      <c r="W39" s="213">
        <v>0.16300000000000001</v>
      </c>
      <c r="X39" s="175"/>
      <c r="Y39" s="175"/>
      <c r="Z39" s="176"/>
      <c r="AA39" s="213">
        <v>0.126</v>
      </c>
      <c r="AB39" s="175"/>
      <c r="AC39" s="175"/>
      <c r="AD39" s="176"/>
      <c r="AE39" s="213">
        <v>0.126</v>
      </c>
      <c r="AF39" s="701"/>
      <c r="AG39" s="175"/>
      <c r="AH39" s="176"/>
      <c r="AI39" s="837"/>
      <c r="AJ39" s="1265" t="s">
        <v>256</v>
      </c>
      <c r="AK39" s="1049"/>
      <c r="AL39" s="1060">
        <v>6.3E-2</v>
      </c>
      <c r="AM39" s="1064"/>
      <c r="AN39" s="1064"/>
      <c r="AO39" s="1065"/>
      <c r="AP39" s="1060">
        <v>6.3E-2</v>
      </c>
      <c r="AQ39" s="1064"/>
      <c r="AR39" s="1064"/>
      <c r="AS39" s="1065"/>
      <c r="AT39" s="1060">
        <v>6.3E-2</v>
      </c>
      <c r="AU39" s="1064"/>
      <c r="AV39" s="1064"/>
      <c r="AW39" s="1065"/>
      <c r="AX39" s="1060">
        <v>6.3E-2</v>
      </c>
      <c r="AY39" s="1064"/>
      <c r="AZ39" s="1064"/>
      <c r="BA39" s="1065"/>
      <c r="BB39" s="1060">
        <v>6.3E-2</v>
      </c>
      <c r="BC39" s="1064"/>
      <c r="BD39" s="1064"/>
      <c r="BE39" s="1065"/>
      <c r="BF39" s="1146">
        <v>8.5000000000000006E-2</v>
      </c>
      <c r="BG39" s="1148"/>
      <c r="BH39" s="1148"/>
      <c r="BI39" s="1149"/>
      <c r="BJ39" s="1185">
        <f t="shared" ref="BJ39" si="1">+($BN$3-BF39)/BF39</f>
        <v>5.2352941176470589</v>
      </c>
      <c r="BK39" s="1186"/>
      <c r="BL39" s="1164">
        <f>+(BF39-BB39)/BB39</f>
        <v>0.3492063492063493</v>
      </c>
    </row>
    <row r="40" spans="1:64" ht="22.5" customHeight="1" x14ac:dyDescent="0.25">
      <c r="A40" s="1281"/>
      <c r="B40" s="133" t="s">
        <v>125</v>
      </c>
      <c r="C40" s="175">
        <v>0.15</v>
      </c>
      <c r="D40" s="176"/>
      <c r="E40" s="177"/>
      <c r="F40" s="449"/>
      <c r="G40" s="170"/>
      <c r="H40" s="170"/>
      <c r="I40" s="1308"/>
      <c r="J40" s="351" t="s">
        <v>155</v>
      </c>
      <c r="K40" s="349">
        <v>3.2000000000000001E-2</v>
      </c>
      <c r="L40" s="175"/>
      <c r="M40" s="175"/>
      <c r="N40" s="176"/>
      <c r="O40" s="175">
        <v>4.9000000000000002E-2</v>
      </c>
      <c r="P40" s="175"/>
      <c r="Q40" s="175"/>
      <c r="R40" s="176"/>
      <c r="S40" s="213">
        <v>6.6000000000000003E-2</v>
      </c>
      <c r="T40" s="175"/>
      <c r="U40" s="175"/>
      <c r="V40" s="176"/>
      <c r="W40" s="213">
        <v>8.3000000000000004E-2</v>
      </c>
      <c r="X40" s="175"/>
      <c r="Y40" s="175"/>
      <c r="Z40" s="176"/>
      <c r="AA40" s="213"/>
      <c r="AB40" s="175" t="s">
        <v>215</v>
      </c>
      <c r="AC40" s="175"/>
      <c r="AD40" s="176"/>
      <c r="AE40" s="213"/>
      <c r="AF40" s="701">
        <v>6.6000000000000003E-2</v>
      </c>
      <c r="AG40" s="175"/>
      <c r="AH40" s="176"/>
      <c r="AI40" s="837"/>
      <c r="AJ40" s="1265"/>
      <c r="AK40" s="1032"/>
      <c r="AL40" s="1060"/>
      <c r="AM40" s="1063">
        <v>6.3E-2</v>
      </c>
      <c r="AN40" s="1064"/>
      <c r="AO40" s="1065"/>
      <c r="AP40" s="1060"/>
      <c r="AQ40" s="1063">
        <v>6.3E-2</v>
      </c>
      <c r="AR40" s="1064"/>
      <c r="AS40" s="1065"/>
      <c r="AT40" s="1060"/>
      <c r="AU40" s="1063">
        <v>6.3E-2</v>
      </c>
      <c r="AV40" s="1064"/>
      <c r="AW40" s="1065"/>
      <c r="AX40" s="1060"/>
      <c r="AY40" s="1063">
        <v>6.3E-2</v>
      </c>
      <c r="AZ40" s="1064"/>
      <c r="BA40" s="1065"/>
      <c r="BB40" s="1060"/>
      <c r="BC40" s="1063">
        <v>6.3E-2</v>
      </c>
      <c r="BD40" s="1064"/>
      <c r="BE40" s="1065"/>
      <c r="BF40" s="1146"/>
      <c r="BG40" s="1147">
        <v>8.5000000000000006E-2</v>
      </c>
      <c r="BH40" s="1148"/>
      <c r="BI40" s="1149"/>
      <c r="BJ40" s="1185">
        <f>+($BP$3-BG40)/BG40</f>
        <v>11.470588235294118</v>
      </c>
      <c r="BK40" s="1186"/>
      <c r="BL40" s="1164"/>
    </row>
    <row r="41" spans="1:64" ht="22.5" customHeight="1" thickBot="1" x14ac:dyDescent="0.3">
      <c r="A41" s="1282"/>
      <c r="B41" s="133" t="s">
        <v>126</v>
      </c>
      <c r="C41" s="175">
        <v>0.2</v>
      </c>
      <c r="D41" s="176"/>
      <c r="E41" s="178"/>
      <c r="F41" s="450"/>
      <c r="G41" s="170"/>
      <c r="H41" s="170"/>
      <c r="I41" s="1309"/>
      <c r="J41" s="351" t="s">
        <v>158</v>
      </c>
      <c r="K41" s="354">
        <v>0.56000000000000005</v>
      </c>
      <c r="L41" s="175"/>
      <c r="M41" s="353"/>
      <c r="N41" s="176"/>
      <c r="O41" s="349">
        <v>0.92</v>
      </c>
      <c r="P41" s="175"/>
      <c r="Q41" s="353"/>
      <c r="R41" s="176"/>
      <c r="S41" s="349">
        <v>0.128</v>
      </c>
      <c r="T41" s="175"/>
      <c r="U41" s="353"/>
      <c r="V41" s="176"/>
      <c r="W41" s="349">
        <v>0.16400000000000001</v>
      </c>
      <c r="X41" s="175"/>
      <c r="Y41" s="353"/>
      <c r="Z41" s="176"/>
      <c r="AA41" s="349"/>
      <c r="AB41" s="175">
        <v>0.128</v>
      </c>
      <c r="AC41" s="353"/>
      <c r="AD41" s="176"/>
      <c r="AE41" s="349"/>
      <c r="AF41" s="701">
        <v>0.128</v>
      </c>
      <c r="AG41" s="175"/>
      <c r="AH41" s="176"/>
      <c r="AI41" s="837"/>
      <c r="AJ41" s="1265" t="s">
        <v>257</v>
      </c>
      <c r="AK41" s="1032" t="s">
        <v>31</v>
      </c>
      <c r="AL41" s="1060"/>
      <c r="AM41" s="1064"/>
      <c r="AN41" s="1063">
        <v>0.126</v>
      </c>
      <c r="AO41" s="1065"/>
      <c r="AP41" s="1060"/>
      <c r="AQ41" s="1064"/>
      <c r="AR41" s="1063">
        <v>0.126</v>
      </c>
      <c r="AS41" s="1065"/>
      <c r="AT41" s="1060"/>
      <c r="AU41" s="1064"/>
      <c r="AV41" s="1063">
        <v>0.126</v>
      </c>
      <c r="AW41" s="1065"/>
      <c r="AX41" s="1060"/>
      <c r="AY41" s="1064"/>
      <c r="AZ41" s="1063">
        <v>0.126</v>
      </c>
      <c r="BA41" s="1065"/>
      <c r="BB41" s="1060"/>
      <c r="BC41" s="1064"/>
      <c r="BD41" s="1063">
        <v>0.126</v>
      </c>
      <c r="BE41" s="1065"/>
      <c r="BF41" s="1146"/>
      <c r="BG41" s="1148"/>
      <c r="BH41" s="1147">
        <v>0.17</v>
      </c>
      <c r="BI41" s="1149"/>
      <c r="BJ41" s="1185">
        <f>+($BP$3-BH41)/BH41</f>
        <v>5.2352941176470589</v>
      </c>
      <c r="BK41" s="1186"/>
      <c r="BL41" s="1164">
        <f>+(BH41-BD41)/BD41</f>
        <v>0.3492063492063493</v>
      </c>
    </row>
    <row r="42" spans="1:64" x14ac:dyDescent="0.25">
      <c r="G42" s="170"/>
      <c r="H42" s="170"/>
      <c r="I42" s="1307" t="s">
        <v>165</v>
      </c>
      <c r="J42" s="351" t="s">
        <v>159</v>
      </c>
      <c r="K42" s="349">
        <v>5.1999999999999998E-2</v>
      </c>
      <c r="L42" s="175"/>
      <c r="M42" s="175"/>
      <c r="N42" s="176"/>
      <c r="O42" s="175">
        <v>8.8999999999999996E-2</v>
      </c>
      <c r="P42" s="175"/>
      <c r="Q42" s="175"/>
      <c r="R42" s="176"/>
      <c r="S42" s="213">
        <v>0.126</v>
      </c>
      <c r="T42" s="175"/>
      <c r="U42" s="175"/>
      <c r="V42" s="176"/>
      <c r="W42" s="213">
        <v>0.16300000000000001</v>
      </c>
      <c r="X42" s="175"/>
      <c r="Y42" s="175"/>
      <c r="Z42" s="176"/>
      <c r="AA42" s="213"/>
      <c r="AB42" s="175"/>
      <c r="AC42" s="175"/>
      <c r="AD42" s="176">
        <v>0.126</v>
      </c>
      <c r="AE42" s="213"/>
      <c r="AF42" s="701"/>
      <c r="AG42" s="175"/>
      <c r="AH42" s="176">
        <v>0.126</v>
      </c>
      <c r="AI42" s="837"/>
      <c r="AJ42" s="1265"/>
      <c r="AK42" s="1032" t="s">
        <v>33</v>
      </c>
      <c r="AL42" s="1066"/>
      <c r="AM42" s="1067"/>
      <c r="AN42" s="1063"/>
      <c r="AO42" s="1065">
        <v>1.26</v>
      </c>
      <c r="AP42" s="1066"/>
      <c r="AQ42" s="1067"/>
      <c r="AR42" s="1063"/>
      <c r="AS42" s="1065">
        <v>1.26</v>
      </c>
      <c r="AT42" s="1066"/>
      <c r="AU42" s="1067"/>
      <c r="AV42" s="1063"/>
      <c r="AW42" s="1065">
        <v>1.26</v>
      </c>
      <c r="AX42" s="1066"/>
      <c r="AY42" s="1067"/>
      <c r="AZ42" s="1063"/>
      <c r="BA42" s="1065">
        <v>1.26</v>
      </c>
      <c r="BB42" s="1066"/>
      <c r="BC42" s="1067"/>
      <c r="BD42" s="1063"/>
      <c r="BE42" s="1065">
        <v>0.126</v>
      </c>
      <c r="BF42" s="1150"/>
      <c r="BG42" s="1151"/>
      <c r="BH42" s="1147"/>
      <c r="BI42" s="1149">
        <v>0.17</v>
      </c>
      <c r="BJ42" s="1185">
        <f>+($BP$3-BI42)/BI42</f>
        <v>5.2352941176470589</v>
      </c>
      <c r="BK42" s="1186"/>
      <c r="BL42" s="1164">
        <f>+(BI42-BE42)/BE42</f>
        <v>0.3492063492063493</v>
      </c>
    </row>
    <row r="43" spans="1:64" ht="13.8" thickBot="1" x14ac:dyDescent="0.3">
      <c r="G43" s="170"/>
      <c r="H43" s="170"/>
      <c r="I43" s="1309"/>
      <c r="J43" s="352" t="s">
        <v>160</v>
      </c>
      <c r="K43" s="355">
        <v>0.56000000000000005</v>
      </c>
      <c r="L43" s="215"/>
      <c r="M43" s="356"/>
      <c r="N43" s="214"/>
      <c r="O43" s="357">
        <v>0.92</v>
      </c>
      <c r="P43" s="215"/>
      <c r="Q43" s="356"/>
      <c r="R43" s="214"/>
      <c r="S43" s="357">
        <v>0.128</v>
      </c>
      <c r="T43" s="215"/>
      <c r="U43" s="356"/>
      <c r="V43" s="214"/>
      <c r="W43" s="357">
        <v>0.16400000000000001</v>
      </c>
      <c r="X43" s="215"/>
      <c r="Y43" s="356"/>
      <c r="Z43" s="214"/>
      <c r="AA43" s="357"/>
      <c r="AB43" s="215"/>
      <c r="AC43" s="356"/>
      <c r="AD43" s="214">
        <v>0.128</v>
      </c>
      <c r="AE43" s="357"/>
      <c r="AF43" s="702"/>
      <c r="AG43" s="215"/>
      <c r="AH43" s="214">
        <v>0.128</v>
      </c>
      <c r="AI43" s="838"/>
      <c r="AJ43" s="1265" t="s">
        <v>258</v>
      </c>
      <c r="AK43" s="1032" t="s">
        <v>31</v>
      </c>
      <c r="AL43" s="1066"/>
      <c r="AM43" s="1067"/>
      <c r="AN43" s="1063">
        <v>0.126</v>
      </c>
      <c r="AO43" s="1065"/>
      <c r="AP43" s="1066"/>
      <c r="AQ43" s="1067"/>
      <c r="AR43" s="1063">
        <v>0.126</v>
      </c>
      <c r="AS43" s="1065"/>
      <c r="AT43" s="1066"/>
      <c r="AU43" s="1067"/>
      <c r="AV43" s="1063">
        <v>0.126</v>
      </c>
      <c r="AW43" s="1065"/>
      <c r="AX43" s="1066"/>
      <c r="AY43" s="1067"/>
      <c r="AZ43" s="1063">
        <v>0.126</v>
      </c>
      <c r="BA43" s="1065"/>
      <c r="BB43" s="1066"/>
      <c r="BC43" s="1067"/>
      <c r="BD43" s="1063">
        <v>0.126</v>
      </c>
      <c r="BE43" s="1065"/>
      <c r="BF43" s="1150"/>
      <c r="BG43" s="1151"/>
      <c r="BH43" s="1147">
        <v>0.17</v>
      </c>
      <c r="BI43" s="1149"/>
      <c r="BJ43" s="1185">
        <f>+($BP$3-BH43)/BH43</f>
        <v>5.2352941176470589</v>
      </c>
      <c r="BK43" s="1186"/>
      <c r="BL43" s="1164">
        <f t="shared" ref="BL43" si="2">+(BH43-BD43)/BD43</f>
        <v>0.3492063492063493</v>
      </c>
    </row>
    <row r="44" spans="1:64" ht="13.8" thickBot="1" x14ac:dyDescent="0.3">
      <c r="G44" s="383"/>
      <c r="H44" s="383"/>
      <c r="I44" s="347"/>
      <c r="AJ44" s="1297"/>
      <c r="AK44" s="1058" t="s">
        <v>33</v>
      </c>
      <c r="AL44" s="1068"/>
      <c r="AM44" s="1069"/>
      <c r="AN44" s="1070"/>
      <c r="AO44" s="1071">
        <v>1.26</v>
      </c>
      <c r="AP44" s="1068"/>
      <c r="AQ44" s="1069"/>
      <c r="AR44" s="1070"/>
      <c r="AS44" s="1071">
        <v>1.26</v>
      </c>
      <c r="AT44" s="1068"/>
      <c r="AU44" s="1069"/>
      <c r="AV44" s="1070"/>
      <c r="AW44" s="1071">
        <v>1.26</v>
      </c>
      <c r="AX44" s="1068"/>
      <c r="AY44" s="1069"/>
      <c r="AZ44" s="1070"/>
      <c r="BA44" s="1071">
        <v>1.26</v>
      </c>
      <c r="BB44" s="1068"/>
      <c r="BC44" s="1069"/>
      <c r="BD44" s="1070"/>
      <c r="BE44" s="1071">
        <v>0.126</v>
      </c>
      <c r="BF44" s="1152"/>
      <c r="BG44" s="1153"/>
      <c r="BH44" s="1154"/>
      <c r="BI44" s="1155">
        <v>0.17</v>
      </c>
      <c r="BJ44" s="1185">
        <f>+($BP$3-BI44)/BI44</f>
        <v>5.2352941176470589</v>
      </c>
      <c r="BK44" s="1186"/>
      <c r="BL44" s="1164">
        <f>+(BI44-BE44)/BE44</f>
        <v>0.3492063492063493</v>
      </c>
    </row>
    <row r="45" spans="1:64" x14ac:dyDescent="0.25">
      <c r="G45" s="383"/>
      <c r="H45" s="383"/>
      <c r="I45" s="347"/>
      <c r="J45" s="347"/>
      <c r="AJ45" s="1059"/>
      <c r="AK45" s="1059"/>
    </row>
    <row r="46" spans="1:64" x14ac:dyDescent="0.25">
      <c r="G46" s="383"/>
      <c r="H46" s="383"/>
      <c r="I46" s="347"/>
    </row>
  </sheetData>
  <mergeCells count="37">
    <mergeCell ref="AJ43:AJ44"/>
    <mergeCell ref="AJ24:AJ26"/>
    <mergeCell ref="AI12:AI14"/>
    <mergeCell ref="F24:F26"/>
    <mergeCell ref="J24:J26"/>
    <mergeCell ref="I37:I41"/>
    <mergeCell ref="AJ37:AJ38"/>
    <mergeCell ref="AJ39:AJ40"/>
    <mergeCell ref="AJ41:AJ42"/>
    <mergeCell ref="I42:I43"/>
    <mergeCell ref="G12:H14"/>
    <mergeCell ref="G19:H21"/>
    <mergeCell ref="AE2:AH2"/>
    <mergeCell ref="K2:N2"/>
    <mergeCell ref="O2:R2"/>
    <mergeCell ref="S2:V2"/>
    <mergeCell ref="W2:Z2"/>
    <mergeCell ref="AA2:AD2"/>
    <mergeCell ref="E2:F3"/>
    <mergeCell ref="A27:A28"/>
    <mergeCell ref="A29:A32"/>
    <mergeCell ref="A33:A36"/>
    <mergeCell ref="A37:A41"/>
    <mergeCell ref="E37:F37"/>
    <mergeCell ref="A4:A9"/>
    <mergeCell ref="E6:E9"/>
    <mergeCell ref="F6:F9"/>
    <mergeCell ref="A10:A26"/>
    <mergeCell ref="E4:F4"/>
    <mergeCell ref="BN1:BO1"/>
    <mergeCell ref="BP1:BQ1"/>
    <mergeCell ref="BF2:BI2"/>
    <mergeCell ref="AL2:AO2"/>
    <mergeCell ref="AP2:AS2"/>
    <mergeCell ref="AT2:AW2"/>
    <mergeCell ref="AX2:BA2"/>
    <mergeCell ref="BB2:BE2"/>
  </mergeCells>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6"/>
  <sheetViews>
    <sheetView zoomScale="70" zoomScaleNormal="70" workbookViewId="0">
      <pane xSplit="2" ySplit="3" topLeftCell="F4" activePane="bottomRight" state="frozen"/>
      <selection pane="topRight" activeCell="C1" sqref="C1"/>
      <selection pane="bottomLeft" activeCell="A5" sqref="A5"/>
      <selection pane="bottomRight" activeCell="U11" sqref="U11"/>
    </sheetView>
  </sheetViews>
  <sheetFormatPr baseColWidth="10" defaultRowHeight="13.2" x14ac:dyDescent="0.25"/>
  <cols>
    <col min="2" max="2" width="15.88671875" customWidth="1"/>
    <col min="5" max="5" width="45.5546875" customWidth="1"/>
    <col min="6" max="6" width="9.6640625" customWidth="1"/>
    <col min="7" max="7" width="8.5546875" customWidth="1"/>
    <col min="8" max="8" width="10.33203125" customWidth="1"/>
    <col min="9" max="9" width="9.6640625" customWidth="1"/>
    <col min="10" max="10" width="9.33203125" customWidth="1"/>
    <col min="11" max="11" width="8" customWidth="1"/>
    <col min="12" max="12" width="30.88671875" customWidth="1"/>
    <col min="13" max="13" width="6.6640625" customWidth="1"/>
  </cols>
  <sheetData>
    <row r="1" spans="1:25" ht="25.8" customHeight="1" x14ac:dyDescent="0.25">
      <c r="S1" s="1157" t="s">
        <v>272</v>
      </c>
      <c r="U1" s="1088" t="s">
        <v>270</v>
      </c>
      <c r="V1" s="1228" t="s">
        <v>260</v>
      </c>
      <c r="W1" s="1229"/>
      <c r="X1" s="1228" t="s">
        <v>261</v>
      </c>
      <c r="Y1" s="1229"/>
    </row>
    <row r="2" spans="1:25" ht="14.4" customHeight="1" thickBot="1" x14ac:dyDescent="0.3">
      <c r="A2" s="3"/>
      <c r="B2" s="13"/>
      <c r="C2" s="3"/>
      <c r="D2" s="3"/>
      <c r="E2" s="3"/>
      <c r="F2" s="3"/>
      <c r="G2" s="3"/>
      <c r="H2" s="3"/>
      <c r="I2" s="3"/>
      <c r="J2" s="3"/>
      <c r="K2" s="3"/>
      <c r="U2" s="1083" t="s">
        <v>259</v>
      </c>
      <c r="V2" s="1083" t="s">
        <v>262</v>
      </c>
      <c r="W2" s="1083" t="s">
        <v>263</v>
      </c>
      <c r="X2" s="1083" t="s">
        <v>262</v>
      </c>
      <c r="Y2" s="1083" t="s">
        <v>263</v>
      </c>
    </row>
    <row r="3" spans="1:25" ht="27" thickBot="1" x14ac:dyDescent="0.3">
      <c r="A3" s="1334" t="s">
        <v>161</v>
      </c>
      <c r="B3" s="1335"/>
      <c r="C3" s="39">
        <v>2011</v>
      </c>
      <c r="D3" s="58">
        <v>2012</v>
      </c>
      <c r="E3" s="1"/>
      <c r="F3" s="128">
        <v>2013</v>
      </c>
      <c r="G3" s="128">
        <v>2014</v>
      </c>
      <c r="H3" s="128">
        <v>2015</v>
      </c>
      <c r="I3" s="128">
        <v>2016</v>
      </c>
      <c r="J3" s="128">
        <v>2017</v>
      </c>
      <c r="K3" s="105">
        <v>2018</v>
      </c>
      <c r="N3" s="105">
        <v>2019</v>
      </c>
      <c r="O3" s="105">
        <v>2020</v>
      </c>
      <c r="P3" s="105">
        <v>2021</v>
      </c>
      <c r="Q3" s="105">
        <v>2022</v>
      </c>
      <c r="R3" s="105">
        <v>2023</v>
      </c>
      <c r="S3" s="105">
        <v>2024</v>
      </c>
      <c r="U3" s="1084" t="s">
        <v>267</v>
      </c>
      <c r="V3" s="1085">
        <v>1.2E-2</v>
      </c>
      <c r="W3" s="1085">
        <v>4.2000000000000003E-2</v>
      </c>
      <c r="X3" s="1085">
        <v>2.4E-2</v>
      </c>
      <c r="Y3" s="1085">
        <v>8.4000000000000005E-2</v>
      </c>
    </row>
    <row r="4" spans="1:25" s="3" customFormat="1" ht="14.25" customHeight="1" x14ac:dyDescent="0.25">
      <c r="A4" s="1285" t="s">
        <v>71</v>
      </c>
      <c r="B4" s="129" t="s">
        <v>34</v>
      </c>
      <c r="C4" s="1346">
        <v>1.4999999999999999E-2</v>
      </c>
      <c r="D4" s="1349">
        <v>1.4999999999999999E-2</v>
      </c>
      <c r="E4" s="132"/>
      <c r="F4" s="1323">
        <v>1.6E-2</v>
      </c>
      <c r="G4" s="1323">
        <v>1.7000000000000001E-2</v>
      </c>
      <c r="H4" s="1323">
        <v>1.7000000000000001E-2</v>
      </c>
      <c r="I4" s="1323">
        <v>1.7999999999999999E-2</v>
      </c>
      <c r="J4" s="1323">
        <v>1.9E-2</v>
      </c>
      <c r="K4" s="1355">
        <v>0.02</v>
      </c>
      <c r="N4" s="1327">
        <v>0.02</v>
      </c>
      <c r="O4" s="1327">
        <v>0.02</v>
      </c>
      <c r="P4" s="1327">
        <v>0.02</v>
      </c>
      <c r="Q4" s="1327">
        <v>0.02</v>
      </c>
      <c r="R4" s="1327">
        <v>0.02</v>
      </c>
      <c r="S4" s="1325">
        <v>0.02</v>
      </c>
    </row>
    <row r="5" spans="1:25" s="3" customFormat="1" ht="30.75" customHeight="1" x14ac:dyDescent="0.25">
      <c r="A5" s="1286"/>
      <c r="B5" s="133" t="s">
        <v>35</v>
      </c>
      <c r="C5" s="1347"/>
      <c r="D5" s="1350"/>
      <c r="E5" s="132"/>
      <c r="F5" s="1324"/>
      <c r="G5" s="1324"/>
      <c r="H5" s="1324"/>
      <c r="I5" s="1324"/>
      <c r="J5" s="1324"/>
      <c r="K5" s="1356"/>
      <c r="N5" s="1328"/>
      <c r="O5" s="1328"/>
      <c r="P5" s="1328"/>
      <c r="Q5" s="1328"/>
      <c r="R5" s="1328"/>
      <c r="S5" s="1326"/>
    </row>
    <row r="6" spans="1:25" s="3" customFormat="1" ht="15" customHeight="1" x14ac:dyDescent="0.25">
      <c r="A6" s="1286"/>
      <c r="B6" s="133" t="s">
        <v>36</v>
      </c>
      <c r="C6" s="1347"/>
      <c r="D6" s="1350"/>
      <c r="E6" s="132"/>
      <c r="F6" s="1332">
        <v>1.7000000000000001E-2</v>
      </c>
      <c r="G6" s="1332">
        <v>1.7999999999999999E-2</v>
      </c>
      <c r="H6" s="1332">
        <v>0.02</v>
      </c>
      <c r="I6" s="1332">
        <v>2.3E-2</v>
      </c>
      <c r="J6" s="1332">
        <v>2.4E-2</v>
      </c>
      <c r="K6" s="1357">
        <v>2.5000000000000001E-2</v>
      </c>
      <c r="N6" s="1316">
        <v>0.28000000000000003</v>
      </c>
      <c r="O6" s="1316">
        <v>0.28000000000000003</v>
      </c>
      <c r="P6" s="1316">
        <v>0.28000000000000003</v>
      </c>
      <c r="Q6" s="1316">
        <v>0.28000000000000003</v>
      </c>
      <c r="R6" s="1316">
        <v>0.28000000000000003</v>
      </c>
      <c r="S6" s="1316">
        <v>0.28000000000000003</v>
      </c>
      <c r="U6"/>
      <c r="V6"/>
      <c r="W6"/>
      <c r="X6"/>
      <c r="Y6"/>
    </row>
    <row r="7" spans="1:25" s="3" customFormat="1" ht="13.2" customHeight="1" x14ac:dyDescent="0.25">
      <c r="A7" s="1286"/>
      <c r="B7" s="138" t="s">
        <v>37</v>
      </c>
      <c r="C7" s="1348"/>
      <c r="D7" s="1351"/>
      <c r="E7" s="139"/>
      <c r="F7" s="1324"/>
      <c r="G7" s="1324"/>
      <c r="H7" s="1324"/>
      <c r="I7" s="1324"/>
      <c r="J7" s="1324"/>
      <c r="K7" s="1356"/>
      <c r="N7" s="1326"/>
      <c r="O7" s="1326"/>
      <c r="P7" s="1326"/>
      <c r="Q7" s="1326"/>
      <c r="R7" s="1326"/>
      <c r="S7" s="1326"/>
      <c r="U7"/>
      <c r="V7"/>
      <c r="W7"/>
      <c r="X7"/>
      <c r="Y7"/>
    </row>
    <row r="8" spans="1:25" s="3" customFormat="1" ht="15" customHeight="1" x14ac:dyDescent="0.25">
      <c r="A8" s="1287"/>
      <c r="B8" s="434" t="s">
        <v>68</v>
      </c>
      <c r="C8" s="239"/>
      <c r="D8" s="137"/>
      <c r="E8" s="139"/>
      <c r="F8" s="435">
        <v>1.7999999999999999E-2</v>
      </c>
      <c r="G8" s="435">
        <v>0.02</v>
      </c>
      <c r="H8" s="435">
        <v>2.1999999999999999E-2</v>
      </c>
      <c r="I8" s="435">
        <v>2.3E-2</v>
      </c>
      <c r="J8" s="435">
        <v>2.4E-2</v>
      </c>
      <c r="K8" s="435">
        <v>2.5000000000000001E-2</v>
      </c>
      <c r="N8" s="992"/>
      <c r="O8" s="992"/>
      <c r="P8" s="992"/>
      <c r="Q8" s="992"/>
      <c r="R8" s="992"/>
      <c r="S8" s="993"/>
    </row>
    <row r="9" spans="1:25" s="3" customFormat="1" ht="15" customHeight="1" thickBot="1" x14ac:dyDescent="0.3">
      <c r="A9" s="1287"/>
      <c r="B9" s="140" t="s">
        <v>145</v>
      </c>
      <c r="C9" s="1244">
        <v>0.03</v>
      </c>
      <c r="D9" s="1341">
        <v>0.03</v>
      </c>
      <c r="E9" s="139"/>
      <c r="F9" s="1332">
        <v>3.1E-2</v>
      </c>
      <c r="G9" s="1332">
        <v>3.2000000000000001E-2</v>
      </c>
      <c r="H9" s="1332">
        <v>3.3000000000000002E-2</v>
      </c>
      <c r="I9" s="1332">
        <v>3.3000000000000002E-2</v>
      </c>
      <c r="J9" s="1332">
        <v>3.4000000000000002E-2</v>
      </c>
      <c r="K9" s="1357">
        <v>3.5000000000000003E-2</v>
      </c>
      <c r="N9" s="1321">
        <v>3.5000000000000003E-2</v>
      </c>
      <c r="O9" s="1321">
        <v>3.5000000000000003E-2</v>
      </c>
      <c r="P9" s="1321">
        <v>3.5000000000000003E-2</v>
      </c>
      <c r="Q9" s="1321">
        <v>3.5000000000000003E-2</v>
      </c>
      <c r="R9" s="1321">
        <v>3.5000000000000003E-2</v>
      </c>
      <c r="S9" s="1316">
        <v>3.5000000000000003E-2</v>
      </c>
      <c r="U9"/>
      <c r="V9"/>
      <c r="W9"/>
      <c r="X9"/>
      <c r="Y9"/>
    </row>
    <row r="10" spans="1:25" s="3" customFormat="1" ht="15" customHeight="1" thickBot="1" x14ac:dyDescent="0.3">
      <c r="A10" s="1288"/>
      <c r="B10" s="140" t="s">
        <v>146</v>
      </c>
      <c r="C10" s="1340"/>
      <c r="D10" s="1342"/>
      <c r="E10" s="139"/>
      <c r="F10" s="1333"/>
      <c r="G10" s="1333"/>
      <c r="H10" s="1333"/>
      <c r="I10" s="1333"/>
      <c r="J10" s="1333"/>
      <c r="K10" s="1358"/>
      <c r="N10" s="1322"/>
      <c r="O10" s="1322"/>
      <c r="P10" s="1322"/>
      <c r="Q10" s="1322"/>
      <c r="R10" s="1322"/>
      <c r="S10" s="1317"/>
      <c r="U10"/>
      <c r="V10"/>
      <c r="W10"/>
      <c r="X10"/>
      <c r="Y10"/>
    </row>
    <row r="11" spans="1:25" s="3" customFormat="1" ht="14.25" customHeight="1" x14ac:dyDescent="0.25">
      <c r="A11" s="1278" t="s">
        <v>24</v>
      </c>
      <c r="B11" s="129" t="s">
        <v>53</v>
      </c>
      <c r="C11" s="217">
        <v>1.4999999999999999E-2</v>
      </c>
      <c r="D11" s="202">
        <v>1.4999999999999999E-2</v>
      </c>
      <c r="E11" s="139"/>
      <c r="F11" s="201">
        <v>1.7999999999999999E-2</v>
      </c>
      <c r="G11" s="201">
        <v>0.02</v>
      </c>
      <c r="H11" s="201">
        <v>2.3E-2</v>
      </c>
      <c r="I11" s="201">
        <v>2.5000000000000001E-2</v>
      </c>
      <c r="J11" s="201">
        <v>2.8000000000000001E-2</v>
      </c>
      <c r="K11" s="201">
        <v>0.03</v>
      </c>
      <c r="N11" s="787">
        <v>0.03</v>
      </c>
      <c r="O11" s="787">
        <v>0.03</v>
      </c>
      <c r="P11" s="787">
        <v>0.03</v>
      </c>
      <c r="Q11" s="787">
        <v>0.03</v>
      </c>
      <c r="R11" s="787">
        <v>0.03</v>
      </c>
      <c r="S11" s="854">
        <v>0.03</v>
      </c>
    </row>
    <row r="12" spans="1:25" s="3" customFormat="1" ht="14.25" customHeight="1" x14ac:dyDescent="0.25">
      <c r="A12" s="1280"/>
      <c r="B12" s="133" t="s">
        <v>54</v>
      </c>
      <c r="C12" s="145">
        <v>1.4999999999999999E-2</v>
      </c>
      <c r="D12" s="204">
        <v>1.4999999999999999E-2</v>
      </c>
      <c r="E12" s="139"/>
      <c r="F12" s="203">
        <v>1.7999999999999999E-2</v>
      </c>
      <c r="G12" s="203">
        <v>0.02</v>
      </c>
      <c r="H12" s="203">
        <v>2.3E-2</v>
      </c>
      <c r="I12" s="203">
        <v>2.5000000000000001E-2</v>
      </c>
      <c r="J12" s="203">
        <v>2.8000000000000001E-2</v>
      </c>
      <c r="K12" s="203">
        <v>0.03</v>
      </c>
      <c r="N12" s="788">
        <v>0.03</v>
      </c>
      <c r="O12" s="788">
        <v>0.03</v>
      </c>
      <c r="P12" s="788">
        <v>0.03</v>
      </c>
      <c r="Q12" s="788">
        <v>0.03</v>
      </c>
      <c r="R12" s="788">
        <v>0.03</v>
      </c>
      <c r="S12" s="855">
        <v>0.03</v>
      </c>
    </row>
    <row r="13" spans="1:25" s="3" customFormat="1" ht="14.25" customHeight="1" x14ac:dyDescent="0.25">
      <c r="A13" s="1280"/>
      <c r="B13" s="133" t="s">
        <v>57</v>
      </c>
      <c r="C13" s="145">
        <v>1.4999999999999999E-2</v>
      </c>
      <c r="D13" s="204">
        <v>1.4999999999999999E-2</v>
      </c>
      <c r="E13" s="1336"/>
      <c r="F13" s="203">
        <v>1.7999999999999999E-2</v>
      </c>
      <c r="G13" s="203">
        <v>0.02</v>
      </c>
      <c r="H13" s="203">
        <v>2.3E-2</v>
      </c>
      <c r="I13" s="203">
        <v>2.5000000000000001E-2</v>
      </c>
      <c r="J13" s="203">
        <v>2.8000000000000001E-2</v>
      </c>
      <c r="K13" s="203">
        <v>0.03</v>
      </c>
      <c r="N13" s="788">
        <v>0.03</v>
      </c>
      <c r="O13" s="788">
        <v>0.03</v>
      </c>
      <c r="P13" s="788">
        <v>0.03</v>
      </c>
      <c r="Q13" s="788">
        <v>0.03</v>
      </c>
      <c r="R13" s="788">
        <v>0.03</v>
      </c>
      <c r="S13" s="855">
        <v>0.03</v>
      </c>
    </row>
    <row r="14" spans="1:25" s="3" customFormat="1" ht="14.25" customHeight="1" x14ac:dyDescent="0.25">
      <c r="A14" s="1280"/>
      <c r="B14" s="133" t="s">
        <v>58</v>
      </c>
      <c r="C14" s="145">
        <v>1.4999999999999999E-2</v>
      </c>
      <c r="D14" s="204">
        <v>1.4999999999999999E-2</v>
      </c>
      <c r="E14" s="1336"/>
      <c r="F14" s="203">
        <v>1.7999999999999999E-2</v>
      </c>
      <c r="G14" s="203">
        <v>0.02</v>
      </c>
      <c r="H14" s="203">
        <v>2.3E-2</v>
      </c>
      <c r="I14" s="203">
        <v>2.5000000000000001E-2</v>
      </c>
      <c r="J14" s="203">
        <v>2.8000000000000001E-2</v>
      </c>
      <c r="K14" s="203">
        <v>0.03</v>
      </c>
      <c r="N14" s="849"/>
      <c r="O14" s="849"/>
      <c r="P14" s="849"/>
      <c r="Q14" s="849"/>
      <c r="R14" s="849"/>
      <c r="S14" s="856"/>
    </row>
    <row r="15" spans="1:25" s="3" customFormat="1" ht="14.25" customHeight="1" x14ac:dyDescent="0.25">
      <c r="A15" s="1280"/>
      <c r="B15" s="133" t="s">
        <v>59</v>
      </c>
      <c r="C15" s="145">
        <v>1.4999999999999999E-2</v>
      </c>
      <c r="D15" s="204">
        <v>1.4999999999999999E-2</v>
      </c>
      <c r="E15" s="1336"/>
      <c r="F15" s="203">
        <v>1.7999999999999999E-2</v>
      </c>
      <c r="G15" s="203">
        <v>0.02</v>
      </c>
      <c r="H15" s="203">
        <v>2.3E-2</v>
      </c>
      <c r="I15" s="203">
        <v>2.5000000000000001E-2</v>
      </c>
      <c r="J15" s="203">
        <v>2.8000000000000001E-2</v>
      </c>
      <c r="K15" s="203">
        <v>0.03</v>
      </c>
      <c r="N15" s="849"/>
      <c r="O15" s="849"/>
      <c r="P15" s="849"/>
      <c r="Q15" s="849"/>
      <c r="R15" s="849"/>
      <c r="S15" s="856"/>
    </row>
    <row r="16" spans="1:25" s="3" customFormat="1" ht="14.25" customHeight="1" x14ac:dyDescent="0.25">
      <c r="A16" s="1280"/>
      <c r="B16" s="133" t="s">
        <v>55</v>
      </c>
      <c r="C16" s="145">
        <v>1.4999999999999999E-2</v>
      </c>
      <c r="D16" s="204">
        <v>1.4999999999999999E-2</v>
      </c>
      <c r="E16" s="391"/>
      <c r="F16" s="203">
        <v>1.7999999999999999E-2</v>
      </c>
      <c r="G16" s="203">
        <v>0.02</v>
      </c>
      <c r="H16" s="203">
        <v>2.3E-2</v>
      </c>
      <c r="I16" s="203">
        <v>2.5000000000000001E-2</v>
      </c>
      <c r="J16" s="203">
        <v>2.8000000000000001E-2</v>
      </c>
      <c r="K16" s="203">
        <v>0.03</v>
      </c>
      <c r="N16" s="849"/>
      <c r="O16" s="849"/>
      <c r="P16" s="849"/>
      <c r="Q16" s="849"/>
      <c r="R16" s="849"/>
      <c r="S16" s="856"/>
    </row>
    <row r="17" spans="1:19" s="3" customFormat="1" ht="14.25" customHeight="1" x14ac:dyDescent="0.25">
      <c r="A17" s="1280"/>
      <c r="B17" s="133" t="s">
        <v>56</v>
      </c>
      <c r="C17" s="145">
        <v>1.4999999999999999E-2</v>
      </c>
      <c r="D17" s="204">
        <v>1.4999999999999999E-2</v>
      </c>
      <c r="E17" s="391"/>
      <c r="F17" s="203">
        <v>1.7999999999999999E-2</v>
      </c>
      <c r="G17" s="203">
        <v>0.02</v>
      </c>
      <c r="H17" s="203">
        <v>2.3E-2</v>
      </c>
      <c r="I17" s="203">
        <v>2.5000000000000001E-2</v>
      </c>
      <c r="J17" s="203">
        <v>2.8000000000000001E-2</v>
      </c>
      <c r="K17" s="203">
        <v>0.03</v>
      </c>
      <c r="N17" s="788">
        <v>0.03</v>
      </c>
      <c r="O17" s="788">
        <v>0.03</v>
      </c>
      <c r="P17" s="788">
        <v>0.03</v>
      </c>
      <c r="Q17" s="788">
        <v>0.03</v>
      </c>
      <c r="R17" s="788">
        <v>0.03</v>
      </c>
      <c r="S17" s="855">
        <v>0.03</v>
      </c>
    </row>
    <row r="18" spans="1:19" s="3" customFormat="1" ht="14.25" customHeight="1" x14ac:dyDescent="0.25">
      <c r="A18" s="1280"/>
      <c r="B18" s="133" t="s">
        <v>60</v>
      </c>
      <c r="C18" s="145">
        <v>0.03</v>
      </c>
      <c r="D18" s="204">
        <v>0.03</v>
      </c>
      <c r="E18" s="391"/>
      <c r="F18" s="203">
        <v>3.5000000000000003E-2</v>
      </c>
      <c r="G18" s="203">
        <v>0.04</v>
      </c>
      <c r="H18" s="203">
        <v>4.4999999999999998E-2</v>
      </c>
      <c r="I18" s="203">
        <v>0.05</v>
      </c>
      <c r="J18" s="203">
        <v>5.5E-2</v>
      </c>
      <c r="K18" s="203">
        <v>0.06</v>
      </c>
      <c r="N18" s="788">
        <v>0.06</v>
      </c>
      <c r="O18" s="788">
        <v>0.06</v>
      </c>
      <c r="P18" s="788">
        <v>0.06</v>
      </c>
      <c r="Q18" s="788">
        <v>0.06</v>
      </c>
      <c r="R18" s="788">
        <v>0.06</v>
      </c>
      <c r="S18" s="855">
        <v>0.06</v>
      </c>
    </row>
    <row r="19" spans="1:19" s="3" customFormat="1" ht="14.25" customHeight="1" x14ac:dyDescent="0.25">
      <c r="A19" s="1280"/>
      <c r="B19" s="133" t="s">
        <v>61</v>
      </c>
      <c r="C19" s="145">
        <v>0.03</v>
      </c>
      <c r="D19" s="204">
        <v>0.03</v>
      </c>
      <c r="E19" s="391"/>
      <c r="F19" s="203">
        <v>3.5000000000000003E-2</v>
      </c>
      <c r="G19" s="203">
        <v>0.04</v>
      </c>
      <c r="H19" s="203">
        <v>4.4999999999999998E-2</v>
      </c>
      <c r="I19" s="203">
        <v>0.05</v>
      </c>
      <c r="J19" s="203">
        <v>5.5E-2</v>
      </c>
      <c r="K19" s="203">
        <v>0.06</v>
      </c>
      <c r="N19" s="788">
        <v>0.06</v>
      </c>
      <c r="O19" s="788">
        <v>0.06</v>
      </c>
      <c r="P19" s="788">
        <v>0.06</v>
      </c>
      <c r="Q19" s="788">
        <v>0.06</v>
      </c>
      <c r="R19" s="788">
        <v>0.06</v>
      </c>
      <c r="S19" s="855">
        <v>0.06</v>
      </c>
    </row>
    <row r="20" spans="1:19" s="3" customFormat="1" ht="14.25" customHeight="1" x14ac:dyDescent="0.25">
      <c r="A20" s="1280"/>
      <c r="B20" s="133" t="s">
        <v>65</v>
      </c>
      <c r="C20" s="145"/>
      <c r="D20" s="204"/>
      <c r="E20" s="1336"/>
      <c r="F20" s="203">
        <v>1.7999999999999999E-2</v>
      </c>
      <c r="G20" s="203">
        <v>0.02</v>
      </c>
      <c r="H20" s="203">
        <v>2.3E-2</v>
      </c>
      <c r="I20" s="203">
        <v>2.5000000000000001E-2</v>
      </c>
      <c r="J20" s="203">
        <v>2.8000000000000001E-2</v>
      </c>
      <c r="K20" s="203">
        <v>0.03</v>
      </c>
      <c r="N20" s="849"/>
      <c r="O20" s="849"/>
      <c r="P20" s="849"/>
      <c r="Q20" s="849"/>
      <c r="R20" s="849"/>
      <c r="S20" s="856"/>
    </row>
    <row r="21" spans="1:19" s="3" customFormat="1" ht="14.25" customHeight="1" x14ac:dyDescent="0.25">
      <c r="A21" s="1280"/>
      <c r="B21" s="133" t="s">
        <v>66</v>
      </c>
      <c r="C21" s="145"/>
      <c r="D21" s="204"/>
      <c r="E21" s="1336"/>
      <c r="F21" s="203">
        <v>1.7999999999999999E-2</v>
      </c>
      <c r="G21" s="203">
        <v>0.02</v>
      </c>
      <c r="H21" s="203">
        <v>2.3E-2</v>
      </c>
      <c r="I21" s="203">
        <v>2.5000000000000001E-2</v>
      </c>
      <c r="J21" s="203">
        <v>2.8000000000000001E-2</v>
      </c>
      <c r="K21" s="203">
        <v>0.03</v>
      </c>
      <c r="N21" s="849"/>
      <c r="O21" s="849"/>
      <c r="P21" s="849"/>
      <c r="Q21" s="849"/>
      <c r="R21" s="849"/>
      <c r="S21" s="856"/>
    </row>
    <row r="22" spans="1:19" s="3" customFormat="1" ht="14.25" customHeight="1" x14ac:dyDescent="0.25">
      <c r="A22" s="1280"/>
      <c r="B22" s="133" t="s">
        <v>67</v>
      </c>
      <c r="C22" s="145"/>
      <c r="D22" s="204"/>
      <c r="E22" s="1336"/>
      <c r="F22" s="203">
        <v>1.7999999999999999E-2</v>
      </c>
      <c r="G22" s="203">
        <v>0.02</v>
      </c>
      <c r="H22" s="203">
        <v>2.3E-2</v>
      </c>
      <c r="I22" s="203">
        <v>2.5000000000000001E-2</v>
      </c>
      <c r="J22" s="203">
        <v>2.8000000000000001E-2</v>
      </c>
      <c r="K22" s="203">
        <v>0.03</v>
      </c>
      <c r="N22" s="849"/>
      <c r="O22" s="849"/>
      <c r="P22" s="849"/>
      <c r="Q22" s="849"/>
      <c r="R22" s="849"/>
      <c r="S22" s="856"/>
    </row>
    <row r="23" spans="1:19" s="3" customFormat="1" ht="14.25" customHeight="1" x14ac:dyDescent="0.25">
      <c r="A23" s="1280"/>
      <c r="B23" s="133" t="s">
        <v>62</v>
      </c>
      <c r="C23" s="145">
        <v>0.03</v>
      </c>
      <c r="D23" s="204">
        <v>0.03</v>
      </c>
      <c r="E23" s="139"/>
      <c r="F23" s="203">
        <v>3.5000000000000003E-2</v>
      </c>
      <c r="G23" s="203">
        <v>0.02</v>
      </c>
      <c r="H23" s="203">
        <v>2.3E-2</v>
      </c>
      <c r="I23" s="203">
        <v>2.5000000000000001E-2</v>
      </c>
      <c r="J23" s="203">
        <v>2.8000000000000001E-2</v>
      </c>
      <c r="K23" s="203">
        <v>0.03</v>
      </c>
      <c r="N23" s="849"/>
      <c r="O23" s="849"/>
      <c r="P23" s="849"/>
      <c r="Q23" s="849"/>
      <c r="R23" s="849"/>
      <c r="S23" s="856"/>
    </row>
    <row r="24" spans="1:19" s="3" customFormat="1" ht="14.25" customHeight="1" x14ac:dyDescent="0.25">
      <c r="A24" s="1280"/>
      <c r="B24" s="133" t="s">
        <v>63</v>
      </c>
      <c r="C24" s="145">
        <v>0.03</v>
      </c>
      <c r="D24" s="204">
        <v>0.03</v>
      </c>
      <c r="E24" s="139"/>
      <c r="F24" s="203">
        <v>3.5000000000000003E-2</v>
      </c>
      <c r="G24" s="203">
        <v>0.04</v>
      </c>
      <c r="H24" s="203">
        <v>4.4999999999999998E-2</v>
      </c>
      <c r="I24" s="203">
        <v>0.05</v>
      </c>
      <c r="J24" s="203">
        <v>5.5E-2</v>
      </c>
      <c r="K24" s="203">
        <v>0.06</v>
      </c>
      <c r="N24" s="788">
        <v>0.06</v>
      </c>
      <c r="O24" s="788">
        <v>0.06</v>
      </c>
      <c r="P24" s="788">
        <v>0.06</v>
      </c>
      <c r="Q24" s="788">
        <v>0.06</v>
      </c>
      <c r="R24" s="788">
        <v>0.06</v>
      </c>
      <c r="S24" s="855">
        <v>0.06</v>
      </c>
    </row>
    <row r="25" spans="1:19" s="3" customFormat="1" ht="14.25" customHeight="1" x14ac:dyDescent="0.25">
      <c r="A25" s="1291"/>
      <c r="B25" s="133" t="s">
        <v>111</v>
      </c>
      <c r="C25" s="1337">
        <v>0.03</v>
      </c>
      <c r="D25" s="1343">
        <v>0.03</v>
      </c>
      <c r="E25" s="139"/>
      <c r="F25" s="1329">
        <v>3.5000000000000003E-2</v>
      </c>
      <c r="G25" s="1329">
        <v>0.04</v>
      </c>
      <c r="H25" s="1329">
        <v>4.4999999999999998E-2</v>
      </c>
      <c r="I25" s="1329">
        <v>0.05</v>
      </c>
      <c r="J25" s="1329">
        <v>5.5E-2</v>
      </c>
      <c r="K25" s="1329">
        <v>0.06</v>
      </c>
      <c r="N25" s="1318"/>
      <c r="O25" s="1318"/>
      <c r="P25" s="1318"/>
      <c r="Q25" s="1318"/>
      <c r="R25" s="1318"/>
      <c r="S25" s="1318"/>
    </row>
    <row r="26" spans="1:19" s="3" customFormat="1" ht="14.25" customHeight="1" x14ac:dyDescent="0.25">
      <c r="A26" s="1291"/>
      <c r="B26" s="133" t="s">
        <v>114</v>
      </c>
      <c r="C26" s="1338"/>
      <c r="D26" s="1344"/>
      <c r="E26" s="139"/>
      <c r="F26" s="1330"/>
      <c r="G26" s="1330"/>
      <c r="H26" s="1330"/>
      <c r="I26" s="1330"/>
      <c r="J26" s="1330"/>
      <c r="K26" s="1330"/>
      <c r="N26" s="1319"/>
      <c r="O26" s="1319"/>
      <c r="P26" s="1319"/>
      <c r="Q26" s="1319"/>
      <c r="R26" s="1319"/>
      <c r="S26" s="1319"/>
    </row>
    <row r="27" spans="1:19" s="3" customFormat="1" ht="14.25" customHeight="1" thickBot="1" x14ac:dyDescent="0.3">
      <c r="A27" s="1279"/>
      <c r="B27" s="429" t="s">
        <v>116</v>
      </c>
      <c r="C27" s="1339"/>
      <c r="D27" s="1345"/>
      <c r="E27" s="139"/>
      <c r="F27" s="1331"/>
      <c r="G27" s="1331"/>
      <c r="H27" s="1331"/>
      <c r="I27" s="1331"/>
      <c r="J27" s="1331"/>
      <c r="K27" s="1331"/>
      <c r="N27" s="1320"/>
      <c r="O27" s="1320"/>
      <c r="P27" s="1320"/>
      <c r="Q27" s="1320"/>
      <c r="R27" s="1320"/>
      <c r="S27" s="1320"/>
    </row>
    <row r="28" spans="1:19" ht="14.4" x14ac:dyDescent="0.25">
      <c r="A28" s="1278" t="s">
        <v>27</v>
      </c>
      <c r="B28" s="151" t="s">
        <v>16</v>
      </c>
      <c r="C28" s="219"/>
      <c r="D28" s="153"/>
      <c r="E28" s="132"/>
      <c r="F28" s="436">
        <v>8.25E-4</v>
      </c>
      <c r="G28" s="273">
        <v>9.1E-4</v>
      </c>
      <c r="H28" s="273">
        <v>1E-3</v>
      </c>
      <c r="I28" s="273">
        <v>1.1000000000000001E-3</v>
      </c>
      <c r="J28" s="273">
        <v>1.2099999999999999E-3</v>
      </c>
      <c r="K28" s="273">
        <v>1.33E-3</v>
      </c>
      <c r="N28" s="900">
        <v>1.3299999999999999E-2</v>
      </c>
      <c r="O28" s="900">
        <v>1.3299999999999999E-2</v>
      </c>
      <c r="P28" s="900">
        <v>1.3299999999999999E-2</v>
      </c>
      <c r="Q28" s="900" t="s">
        <v>246</v>
      </c>
      <c r="R28" s="900" t="s">
        <v>247</v>
      </c>
      <c r="S28" s="900" t="s">
        <v>248</v>
      </c>
    </row>
    <row r="29" spans="1:19" ht="13.8" thickBot="1" x14ac:dyDescent="0.3">
      <c r="A29" s="1279"/>
      <c r="B29" s="140" t="s">
        <v>41</v>
      </c>
      <c r="C29" s="154"/>
      <c r="D29" s="155"/>
      <c r="E29" s="157"/>
      <c r="F29" s="274">
        <v>1.65E-3</v>
      </c>
      <c r="G29" s="274">
        <v>1.82E-3</v>
      </c>
      <c r="H29" s="274">
        <v>2E-3</v>
      </c>
      <c r="I29" s="274">
        <v>2.2000000000000001E-3</v>
      </c>
      <c r="J29" s="274">
        <v>2.4199999999999998E-3</v>
      </c>
      <c r="K29" s="274">
        <v>2.66E-3</v>
      </c>
      <c r="N29" s="874">
        <v>2.6599999999999999E-2</v>
      </c>
      <c r="O29" s="874">
        <v>2.6599999999999999E-2</v>
      </c>
      <c r="P29" s="874">
        <v>2.6599999999999999E-2</v>
      </c>
      <c r="Q29" s="874">
        <v>2.6599999999999999E-2</v>
      </c>
      <c r="R29" s="874">
        <v>2.6599999999999999E-2</v>
      </c>
      <c r="S29" s="874">
        <v>2.6599999999999999E-2</v>
      </c>
    </row>
    <row r="30" spans="1:19" x14ac:dyDescent="0.25">
      <c r="A30" s="1278" t="s">
        <v>26</v>
      </c>
      <c r="B30" s="158" t="s">
        <v>31</v>
      </c>
      <c r="C30" s="985">
        <v>4.0000000000000001E-3</v>
      </c>
      <c r="D30" s="77">
        <v>4.0000000000000001E-3</v>
      </c>
      <c r="E30" s="157"/>
      <c r="F30" s="206">
        <v>4.3E-3</v>
      </c>
      <c r="G30" s="206">
        <v>4.5999999999999999E-3</v>
      </c>
      <c r="H30" s="206">
        <v>5.0000000000000001E-3</v>
      </c>
      <c r="I30" s="206">
        <v>6.0000000000000001E-3</v>
      </c>
      <c r="J30" s="206">
        <v>6.0000000000000001E-3</v>
      </c>
      <c r="K30" s="206">
        <v>6.3E-3</v>
      </c>
      <c r="N30" s="888">
        <v>6.0000000000000001E-3</v>
      </c>
      <c r="O30" s="888">
        <v>6.0000000000000001E-3</v>
      </c>
      <c r="P30" s="888">
        <v>6.0000000000000001E-3</v>
      </c>
      <c r="Q30" s="888">
        <v>6.0000000000000001E-3</v>
      </c>
      <c r="R30" s="888">
        <v>6.0000000000000001E-3</v>
      </c>
      <c r="S30" s="888">
        <v>1.4999999999999999E-2</v>
      </c>
    </row>
    <row r="31" spans="1:19" x14ac:dyDescent="0.25">
      <c r="A31" s="1280"/>
      <c r="B31" s="138" t="s">
        <v>38</v>
      </c>
      <c r="C31" s="78">
        <v>8.0000000000000002E-3</v>
      </c>
      <c r="D31" s="79">
        <v>8.0000000000000002E-3</v>
      </c>
      <c r="E31" s="157"/>
      <c r="F31" s="207">
        <v>8.9999999999999993E-3</v>
      </c>
      <c r="G31" s="207">
        <v>1.0999999999999999E-2</v>
      </c>
      <c r="H31" s="207">
        <v>1.2E-2</v>
      </c>
      <c r="I31" s="207">
        <v>1.2999999999999999E-2</v>
      </c>
      <c r="J31" s="207">
        <v>1.4E-2</v>
      </c>
      <c r="K31" s="207">
        <v>1.6E-2</v>
      </c>
      <c r="N31" s="894">
        <v>1.4E-2</v>
      </c>
      <c r="O31" s="894">
        <v>1.4E-2</v>
      </c>
      <c r="P31" s="894">
        <v>1.4E-2</v>
      </c>
      <c r="Q31" s="894">
        <v>1.4E-2</v>
      </c>
      <c r="R31" s="894">
        <v>1.4E-2</v>
      </c>
      <c r="S31" s="894">
        <v>1.7999999999999999E-2</v>
      </c>
    </row>
    <row r="32" spans="1:19" x14ac:dyDescent="0.25">
      <c r="A32" s="1280"/>
      <c r="B32" s="138" t="s">
        <v>39</v>
      </c>
      <c r="C32" s="78">
        <v>1.4E-2</v>
      </c>
      <c r="D32" s="79">
        <v>1.4E-2</v>
      </c>
      <c r="E32" s="157"/>
      <c r="F32" s="207">
        <v>1.4999999999999999E-2</v>
      </c>
      <c r="G32" s="207">
        <v>1.7000000000000001E-2</v>
      </c>
      <c r="H32" s="207">
        <v>1.9E-2</v>
      </c>
      <c r="I32" s="207">
        <v>2.1000000000000001E-2</v>
      </c>
      <c r="J32" s="207">
        <v>2.3E-2</v>
      </c>
      <c r="K32" s="207">
        <v>2.5000000000000001E-2</v>
      </c>
      <c r="N32" s="894">
        <v>2.3E-2</v>
      </c>
      <c r="O32" s="894">
        <v>2.3E-2</v>
      </c>
      <c r="P32" s="894">
        <v>2.3E-2</v>
      </c>
      <c r="Q32" s="894">
        <v>2.3E-2</v>
      </c>
      <c r="R32" s="894">
        <v>2.3E-2</v>
      </c>
      <c r="S32" s="894">
        <v>2.3E-2</v>
      </c>
    </row>
    <row r="33" spans="1:19" ht="13.8" thickBot="1" x14ac:dyDescent="0.3">
      <c r="A33" s="1279"/>
      <c r="B33" s="140" t="s">
        <v>40</v>
      </c>
      <c r="C33" s="80">
        <v>2.9000000000000001E-2</v>
      </c>
      <c r="D33" s="81">
        <v>2.9000000000000001E-2</v>
      </c>
      <c r="E33" s="132"/>
      <c r="F33" s="208">
        <v>3.2000000000000001E-2</v>
      </c>
      <c r="G33" s="208">
        <v>3.5999999999999997E-2</v>
      </c>
      <c r="H33" s="208">
        <v>0.04</v>
      </c>
      <c r="I33" s="208">
        <v>4.4999999999999998E-2</v>
      </c>
      <c r="J33" s="208">
        <v>0.05</v>
      </c>
      <c r="K33" s="208">
        <v>5.6000000000000001E-2</v>
      </c>
      <c r="N33" s="895">
        <v>0.05</v>
      </c>
      <c r="O33" s="895">
        <v>0.05</v>
      </c>
      <c r="P33" s="895">
        <v>0.05</v>
      </c>
      <c r="Q33" s="895">
        <v>0.05</v>
      </c>
      <c r="R33" s="895">
        <v>0.05</v>
      </c>
      <c r="S33" s="895">
        <v>0.05</v>
      </c>
    </row>
    <row r="34" spans="1:19" ht="14.4" x14ac:dyDescent="0.25">
      <c r="A34" s="1278" t="s">
        <v>28</v>
      </c>
      <c r="B34" s="151" t="s">
        <v>31</v>
      </c>
      <c r="C34" s="82">
        <v>1.4999999999999999E-2</v>
      </c>
      <c r="D34" s="83">
        <v>1.4999999999999999E-2</v>
      </c>
      <c r="E34" s="132"/>
      <c r="F34" s="982">
        <v>0.03</v>
      </c>
      <c r="G34" s="982">
        <v>0.03</v>
      </c>
      <c r="H34" s="982">
        <v>0.03</v>
      </c>
      <c r="I34" s="982">
        <v>0.03</v>
      </c>
      <c r="J34" s="982">
        <v>0.03</v>
      </c>
      <c r="K34" s="982">
        <v>0.03</v>
      </c>
      <c r="N34" s="982">
        <v>0.03</v>
      </c>
      <c r="O34" s="982">
        <v>0.03</v>
      </c>
      <c r="P34" s="982">
        <v>0.03</v>
      </c>
      <c r="Q34" s="982">
        <v>0.03</v>
      </c>
      <c r="R34" s="982">
        <v>0.03</v>
      </c>
      <c r="S34" s="982">
        <v>0.03</v>
      </c>
    </row>
    <row r="35" spans="1:19" x14ac:dyDescent="0.25">
      <c r="A35" s="1280"/>
      <c r="B35" s="138" t="s">
        <v>32</v>
      </c>
      <c r="C35" s="84">
        <v>1.4999999999999999E-2</v>
      </c>
      <c r="D35" s="85">
        <v>1.4999999999999999E-2</v>
      </c>
      <c r="E35" s="170"/>
      <c r="F35" s="983">
        <v>0.03</v>
      </c>
      <c r="G35" s="983">
        <v>0.03</v>
      </c>
      <c r="H35" s="983">
        <v>0.03</v>
      </c>
      <c r="I35" s="983">
        <v>0.03</v>
      </c>
      <c r="J35" s="983">
        <v>0.03</v>
      </c>
      <c r="K35" s="983">
        <v>0.03</v>
      </c>
      <c r="N35" s="983">
        <v>0.03</v>
      </c>
      <c r="O35" s="983">
        <v>0.03</v>
      </c>
      <c r="P35" s="983">
        <v>0.03</v>
      </c>
      <c r="Q35" s="983">
        <v>0.03</v>
      </c>
      <c r="R35" s="983">
        <v>0.03</v>
      </c>
      <c r="S35" s="983">
        <v>0.03</v>
      </c>
    </row>
    <row r="36" spans="1:19" x14ac:dyDescent="0.25">
      <c r="A36" s="1280"/>
      <c r="B36" s="138" t="s">
        <v>33</v>
      </c>
      <c r="C36" s="84">
        <v>1.4999999999999999E-2</v>
      </c>
      <c r="D36" s="85">
        <v>1.4999999999999999E-2</v>
      </c>
      <c r="E36" s="170"/>
      <c r="F36" s="983">
        <v>0.03</v>
      </c>
      <c r="G36" s="983">
        <v>0.03</v>
      </c>
      <c r="H36" s="983">
        <v>0.03</v>
      </c>
      <c r="I36" s="983">
        <v>0.03</v>
      </c>
      <c r="J36" s="983">
        <v>0.03</v>
      </c>
      <c r="K36" s="983">
        <v>0.03</v>
      </c>
      <c r="N36" s="983">
        <v>0.03</v>
      </c>
      <c r="O36" s="983">
        <v>0.03</v>
      </c>
      <c r="P36" s="983">
        <v>0.03</v>
      </c>
      <c r="Q36" s="983">
        <v>0.03</v>
      </c>
      <c r="R36" s="983">
        <v>0.03</v>
      </c>
      <c r="S36" s="983">
        <v>0.03</v>
      </c>
    </row>
    <row r="37" spans="1:19" ht="13.8" thickBot="1" x14ac:dyDescent="0.3">
      <c r="A37" s="1279"/>
      <c r="B37" s="140" t="s">
        <v>15</v>
      </c>
      <c r="C37" s="986">
        <v>0.03</v>
      </c>
      <c r="D37" s="281">
        <v>0.03</v>
      </c>
      <c r="E37" s="157"/>
      <c r="F37" s="984">
        <v>0.06</v>
      </c>
      <c r="G37" s="984">
        <v>0.06</v>
      </c>
      <c r="H37" s="984">
        <v>0.06</v>
      </c>
      <c r="I37" s="984">
        <v>0.06</v>
      </c>
      <c r="J37" s="984">
        <v>0.06</v>
      </c>
      <c r="K37" s="984">
        <v>0.06</v>
      </c>
      <c r="N37" s="984">
        <v>0.06</v>
      </c>
      <c r="O37" s="984">
        <v>0.06</v>
      </c>
      <c r="P37" s="984">
        <v>0.06</v>
      </c>
      <c r="Q37" s="984">
        <v>0.06</v>
      </c>
      <c r="R37" s="984">
        <v>0.06</v>
      </c>
      <c r="S37" s="984">
        <v>0.06</v>
      </c>
    </row>
    <row r="38" spans="1:19" ht="22.5" customHeight="1" x14ac:dyDescent="0.25">
      <c r="A38" s="1207" t="s">
        <v>29</v>
      </c>
      <c r="B38" s="133" t="s">
        <v>118</v>
      </c>
      <c r="C38" s="173"/>
      <c r="D38" s="223"/>
      <c r="E38" s="389" t="s">
        <v>154</v>
      </c>
      <c r="F38" s="263">
        <v>1.0999999999999999E-2</v>
      </c>
      <c r="G38" s="86">
        <v>1.4999999999999999E-2</v>
      </c>
      <c r="H38" s="86">
        <v>1.4999999999999999E-2</v>
      </c>
      <c r="I38" s="86">
        <v>1.4999999999999999E-2</v>
      </c>
      <c r="J38" s="86">
        <v>1.4999999999999999E-2</v>
      </c>
      <c r="K38" s="86">
        <v>1.4999999999999999E-2</v>
      </c>
      <c r="L38" s="1352" t="s">
        <v>255</v>
      </c>
      <c r="M38" s="1072" t="s">
        <v>31</v>
      </c>
      <c r="N38" s="772">
        <v>1.4999999999999999E-2</v>
      </c>
      <c r="O38" s="747">
        <v>1.4999999999999999E-2</v>
      </c>
      <c r="P38" s="747">
        <v>1.4999999999999999E-2</v>
      </c>
      <c r="Q38" s="747">
        <v>1.4999999999999999E-2</v>
      </c>
      <c r="R38" s="747">
        <v>1.4999999999999999E-2</v>
      </c>
      <c r="S38" s="749">
        <v>1.4999999999999999E-2</v>
      </c>
    </row>
    <row r="39" spans="1:19" ht="22.5" customHeight="1" x14ac:dyDescent="0.25">
      <c r="A39" s="1281"/>
      <c r="B39" s="133" t="s">
        <v>120</v>
      </c>
      <c r="C39" s="175"/>
      <c r="D39" s="176"/>
      <c r="E39" s="390" t="s">
        <v>156</v>
      </c>
      <c r="F39" s="264">
        <v>1.4E-2</v>
      </c>
      <c r="G39" s="88">
        <v>1.6E-2</v>
      </c>
      <c r="H39" s="88">
        <v>1.6E-2</v>
      </c>
      <c r="I39" s="88">
        <v>1.6E-2</v>
      </c>
      <c r="J39" s="88">
        <v>1.6E-2</v>
      </c>
      <c r="K39" s="88">
        <v>1.6E-2</v>
      </c>
      <c r="L39" s="1353"/>
      <c r="M39" s="1073" t="s">
        <v>33</v>
      </c>
      <c r="N39" s="1075">
        <v>1.4999999999999999E-2</v>
      </c>
      <c r="O39" s="1076">
        <v>1.4999999999999999E-2</v>
      </c>
      <c r="P39" s="1076">
        <v>1.4999999999999999E-2</v>
      </c>
      <c r="Q39" s="1076">
        <v>1.4999999999999999E-2</v>
      </c>
      <c r="R39" s="1076">
        <v>1.4999999999999999E-2</v>
      </c>
      <c r="S39" s="1077">
        <v>1.4999999999999999E-2</v>
      </c>
    </row>
    <row r="40" spans="1:19" ht="22.5" customHeight="1" x14ac:dyDescent="0.25">
      <c r="A40" s="1281"/>
      <c r="B40" s="133" t="s">
        <v>124</v>
      </c>
      <c r="C40" s="175"/>
      <c r="D40" s="176"/>
      <c r="E40" s="390" t="s">
        <v>157</v>
      </c>
      <c r="F40" s="264">
        <v>1.6E-2</v>
      </c>
      <c r="G40" s="88">
        <v>1.7000000000000001E-2</v>
      </c>
      <c r="H40" s="88">
        <v>1.7000000000000001E-2</v>
      </c>
      <c r="I40" s="88">
        <v>1.7000000000000001E-2</v>
      </c>
      <c r="J40" s="88">
        <v>1.7000000000000001E-2</v>
      </c>
      <c r="K40" s="88">
        <v>1.7000000000000001E-2</v>
      </c>
      <c r="L40" s="1353" t="s">
        <v>256</v>
      </c>
      <c r="M40" s="1073" t="s">
        <v>31</v>
      </c>
      <c r="N40" s="1075">
        <v>1.4999999999999999E-2</v>
      </c>
      <c r="O40" s="1076">
        <v>1.4999999999999999E-2</v>
      </c>
      <c r="P40" s="1076">
        <v>1.4999999999999999E-2</v>
      </c>
      <c r="Q40" s="1076">
        <v>1.4999999999999999E-2</v>
      </c>
      <c r="R40" s="1076">
        <v>1.4999999999999999E-2</v>
      </c>
      <c r="S40" s="1077">
        <v>1.4999999999999999E-2</v>
      </c>
    </row>
    <row r="41" spans="1:19" ht="22.5" customHeight="1" x14ac:dyDescent="0.25">
      <c r="A41" s="1281"/>
      <c r="B41" s="133" t="s">
        <v>125</v>
      </c>
      <c r="C41" s="175"/>
      <c r="D41" s="176"/>
      <c r="E41" s="390" t="s">
        <v>155</v>
      </c>
      <c r="F41" s="264">
        <v>1.4999999999999999E-2</v>
      </c>
      <c r="G41" s="264">
        <v>1.4999999999999999E-2</v>
      </c>
      <c r="H41" s="264">
        <v>1.4999999999999999E-2</v>
      </c>
      <c r="I41" s="264">
        <v>1.4999999999999999E-2</v>
      </c>
      <c r="J41" s="264">
        <v>1.4999999999999999E-2</v>
      </c>
      <c r="K41" s="264">
        <v>1.4999999999999999E-2</v>
      </c>
      <c r="L41" s="1353"/>
      <c r="M41" s="1073" t="s">
        <v>33</v>
      </c>
      <c r="N41" s="1075">
        <v>1.4999999999999999E-2</v>
      </c>
      <c r="O41" s="1076">
        <v>1.4999999999999999E-2</v>
      </c>
      <c r="P41" s="1076">
        <v>1.4999999999999999E-2</v>
      </c>
      <c r="Q41" s="1076">
        <v>1.4999999999999999E-2</v>
      </c>
      <c r="R41" s="1076">
        <v>1.4999999999999999E-2</v>
      </c>
      <c r="S41" s="1077">
        <v>1.4999999999999999E-2</v>
      </c>
    </row>
    <row r="42" spans="1:19" ht="22.5" customHeight="1" x14ac:dyDescent="0.25">
      <c r="A42" s="1282"/>
      <c r="B42" s="133" t="s">
        <v>126</v>
      </c>
      <c r="C42" s="175"/>
      <c r="D42" s="176"/>
      <c r="E42" s="390" t="s">
        <v>158</v>
      </c>
      <c r="F42" s="264">
        <v>1.6E-2</v>
      </c>
      <c r="G42" s="88">
        <v>1.7000000000000001E-2</v>
      </c>
      <c r="H42" s="88">
        <v>1.7000000000000001E-2</v>
      </c>
      <c r="I42" s="88">
        <v>1.7000000000000001E-2</v>
      </c>
      <c r="J42" s="88">
        <v>1.7000000000000001E-2</v>
      </c>
      <c r="K42" s="88">
        <v>1.7000000000000001E-2</v>
      </c>
      <c r="L42" s="1353" t="s">
        <v>257</v>
      </c>
      <c r="M42" s="1073" t="s">
        <v>31</v>
      </c>
      <c r="N42" s="1075">
        <v>1.7000000000000001E-2</v>
      </c>
      <c r="O42" s="1076">
        <v>1.7000000000000001E-2</v>
      </c>
      <c r="P42" s="1076">
        <v>1.7000000000000001E-2</v>
      </c>
      <c r="Q42" s="1076">
        <v>1.7000000000000001E-2</v>
      </c>
      <c r="R42" s="1076">
        <v>1.7000000000000001E-2</v>
      </c>
      <c r="S42" s="1156">
        <v>1.7999999999999999E-2</v>
      </c>
    </row>
    <row r="43" spans="1:19" x14ac:dyDescent="0.25">
      <c r="E43" s="351" t="s">
        <v>159</v>
      </c>
      <c r="F43" s="264">
        <v>1.6E-2</v>
      </c>
      <c r="G43" s="88">
        <v>1.7000000000000001E-2</v>
      </c>
      <c r="H43" s="88">
        <v>1.7000000000000001E-2</v>
      </c>
      <c r="I43" s="88">
        <v>1.7000000000000001E-2</v>
      </c>
      <c r="J43" s="88">
        <v>1.7000000000000001E-2</v>
      </c>
      <c r="K43" s="88">
        <v>1.7000000000000001E-2</v>
      </c>
      <c r="L43" s="1353"/>
      <c r="M43" s="1073" t="s">
        <v>33</v>
      </c>
      <c r="N43" s="1075">
        <v>1.7000000000000001E-2</v>
      </c>
      <c r="O43" s="1076">
        <v>1.7000000000000001E-2</v>
      </c>
      <c r="P43" s="1076">
        <v>1.7000000000000001E-2</v>
      </c>
      <c r="Q43" s="1076">
        <v>1.7000000000000001E-2</v>
      </c>
      <c r="R43" s="1076">
        <v>1.7000000000000001E-2</v>
      </c>
      <c r="S43" s="1156">
        <v>1.7999999999999999E-2</v>
      </c>
    </row>
    <row r="44" spans="1:19" ht="13.8" thickBot="1" x14ac:dyDescent="0.3">
      <c r="E44" s="352" t="s">
        <v>160</v>
      </c>
      <c r="F44" s="282">
        <v>1.6E-2</v>
      </c>
      <c r="G44" s="90">
        <v>1.7000000000000001E-2</v>
      </c>
      <c r="H44" s="90">
        <v>1.7000000000000001E-2</v>
      </c>
      <c r="I44" s="90">
        <v>1.7000000000000001E-2</v>
      </c>
      <c r="J44" s="90">
        <v>1.7000000000000001E-2</v>
      </c>
      <c r="K44" s="90">
        <v>1.7000000000000001E-2</v>
      </c>
      <c r="L44" s="1353" t="s">
        <v>258</v>
      </c>
      <c r="M44" s="1073" t="s">
        <v>31</v>
      </c>
      <c r="N44" s="1075">
        <v>1.7000000000000001E-2</v>
      </c>
      <c r="O44" s="1076">
        <v>1.7000000000000001E-2</v>
      </c>
      <c r="P44" s="1076">
        <v>1.7000000000000001E-2</v>
      </c>
      <c r="Q44" s="1076">
        <v>1.7000000000000001E-2</v>
      </c>
      <c r="R44" s="1076">
        <v>1.7000000000000001E-2</v>
      </c>
      <c r="S44" s="1156">
        <v>1.7999999999999999E-2</v>
      </c>
    </row>
    <row r="45" spans="1:19" ht="13.8" thickBot="1" x14ac:dyDescent="0.3">
      <c r="L45" s="1354"/>
      <c r="M45" s="1074" t="s">
        <v>33</v>
      </c>
      <c r="N45" s="1078">
        <v>1.7000000000000001E-2</v>
      </c>
      <c r="O45" s="1079">
        <v>1.7000000000000001E-2</v>
      </c>
      <c r="P45" s="1079">
        <v>1.7000000000000001E-2</v>
      </c>
      <c r="Q45" s="1079">
        <v>1.7000000000000001E-2</v>
      </c>
      <c r="R45" s="1079">
        <v>1.7000000000000001E-2</v>
      </c>
      <c r="S45" s="1156">
        <v>1.7999999999999999E-2</v>
      </c>
    </row>
    <row r="46" spans="1:19" x14ac:dyDescent="0.25">
      <c r="E46" s="347"/>
    </row>
  </sheetData>
  <mergeCells count="69">
    <mergeCell ref="L38:L39"/>
    <mergeCell ref="L40:L41"/>
    <mergeCell ref="L42:L43"/>
    <mergeCell ref="L44:L45"/>
    <mergeCell ref="A4:A10"/>
    <mergeCell ref="F4:F5"/>
    <mergeCell ref="F6:F7"/>
    <mergeCell ref="F9:F10"/>
    <mergeCell ref="G6:G7"/>
    <mergeCell ref="G9:G10"/>
    <mergeCell ref="H4:H5"/>
    <mergeCell ref="H6:H7"/>
    <mergeCell ref="H9:H10"/>
    <mergeCell ref="K4:K5"/>
    <mergeCell ref="K6:K7"/>
    <mergeCell ref="K9:K10"/>
    <mergeCell ref="A3:B3"/>
    <mergeCell ref="A38:A42"/>
    <mergeCell ref="A11:A27"/>
    <mergeCell ref="E13:E15"/>
    <mergeCell ref="E20:E22"/>
    <mergeCell ref="A28:A29"/>
    <mergeCell ref="A30:A33"/>
    <mergeCell ref="A34:A37"/>
    <mergeCell ref="C25:C27"/>
    <mergeCell ref="C9:C10"/>
    <mergeCell ref="D9:D10"/>
    <mergeCell ref="D25:D27"/>
    <mergeCell ref="C4:C7"/>
    <mergeCell ref="D4:D7"/>
    <mergeCell ref="F25:F27"/>
    <mergeCell ref="G25:G27"/>
    <mergeCell ref="H25:H27"/>
    <mergeCell ref="I25:I27"/>
    <mergeCell ref="J25:J27"/>
    <mergeCell ref="K25:K27"/>
    <mergeCell ref="I4:I5"/>
    <mergeCell ref="I6:I7"/>
    <mergeCell ref="I9:I10"/>
    <mergeCell ref="J4:J5"/>
    <mergeCell ref="J6:J7"/>
    <mergeCell ref="J9:J10"/>
    <mergeCell ref="G4:G5"/>
    <mergeCell ref="S4:S5"/>
    <mergeCell ref="N6:N7"/>
    <mergeCell ref="O6:O7"/>
    <mergeCell ref="P6:P7"/>
    <mergeCell ref="Q6:Q7"/>
    <mergeCell ref="R6:R7"/>
    <mergeCell ref="S6:S7"/>
    <mergeCell ref="N4:N5"/>
    <mergeCell ref="O4:O5"/>
    <mergeCell ref="P4:P5"/>
    <mergeCell ref="Q4:Q5"/>
    <mergeCell ref="R4:R5"/>
    <mergeCell ref="V1:W1"/>
    <mergeCell ref="X1:Y1"/>
    <mergeCell ref="S9:S10"/>
    <mergeCell ref="N25:N27"/>
    <mergeCell ref="O25:O27"/>
    <mergeCell ref="P25:P27"/>
    <mergeCell ref="Q25:Q27"/>
    <mergeCell ref="R25:R27"/>
    <mergeCell ref="S25:S27"/>
    <mergeCell ref="N9:N10"/>
    <mergeCell ref="O9:O10"/>
    <mergeCell ref="P9:P10"/>
    <mergeCell ref="Q9:Q10"/>
    <mergeCell ref="R9:R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23"/>
  <sheetViews>
    <sheetView workbookViewId="0">
      <pane xSplit="1" ySplit="1" topLeftCell="H2" activePane="bottomRight" state="frozen"/>
      <selection pane="topRight" activeCell="B1" sqref="B1"/>
      <selection pane="bottomLeft" activeCell="A2" sqref="A2"/>
      <selection pane="bottomRight" activeCell="V8" sqref="V8"/>
    </sheetView>
  </sheetViews>
  <sheetFormatPr baseColWidth="10" defaultRowHeight="13.2" x14ac:dyDescent="0.25"/>
  <cols>
    <col min="2" max="6" width="11.44140625" style="13"/>
    <col min="7" max="7" width="65.6640625" customWidth="1"/>
  </cols>
  <sheetData>
    <row r="1" spans="1:21" ht="63" thickBot="1" x14ac:dyDescent="0.3">
      <c r="A1" s="126" t="s">
        <v>144</v>
      </c>
    </row>
    <row r="2" spans="1:21" ht="16.2" thickBot="1" x14ac:dyDescent="0.3">
      <c r="A2" s="126"/>
      <c r="B2" s="227">
        <v>2008</v>
      </c>
      <c r="C2" s="227">
        <v>2009</v>
      </c>
      <c r="D2" s="227">
        <v>2010</v>
      </c>
      <c r="E2" s="227">
        <v>2011</v>
      </c>
      <c r="F2" s="227">
        <v>2012</v>
      </c>
      <c r="G2" s="184" t="s">
        <v>127</v>
      </c>
      <c r="I2" s="185">
        <v>2013</v>
      </c>
      <c r="J2" s="185">
        <v>2014</v>
      </c>
      <c r="K2" s="185">
        <v>2015</v>
      </c>
      <c r="L2" s="185">
        <v>2016</v>
      </c>
      <c r="M2" s="185">
        <v>2017</v>
      </c>
      <c r="N2" s="185">
        <v>2018</v>
      </c>
      <c r="P2" s="105">
        <v>2019</v>
      </c>
      <c r="Q2" s="105">
        <v>2020</v>
      </c>
      <c r="R2" s="105">
        <v>2021</v>
      </c>
      <c r="S2" s="105">
        <v>2022</v>
      </c>
      <c r="T2" s="105">
        <v>2023</v>
      </c>
      <c r="U2" s="105">
        <v>2024</v>
      </c>
    </row>
    <row r="3" spans="1:21" ht="16.2" thickBot="1" x14ac:dyDescent="0.35">
      <c r="A3" s="179" t="s">
        <v>71</v>
      </c>
      <c r="B3" s="421"/>
      <c r="C3" s="421"/>
      <c r="D3" s="421"/>
      <c r="E3" s="228">
        <v>0.01</v>
      </c>
      <c r="F3" s="228">
        <v>0.01</v>
      </c>
      <c r="G3" s="216" t="s">
        <v>128</v>
      </c>
      <c r="I3" s="232">
        <v>0.01</v>
      </c>
      <c r="J3" s="228">
        <v>0.01</v>
      </c>
      <c r="K3" s="228">
        <v>0.01</v>
      </c>
      <c r="L3" s="228">
        <v>0.01</v>
      </c>
      <c r="M3" s="228">
        <v>0.01</v>
      </c>
      <c r="N3" s="228">
        <v>0.01</v>
      </c>
      <c r="P3" s="902">
        <v>0.01</v>
      </c>
      <c r="Q3" s="903">
        <v>0.01</v>
      </c>
      <c r="R3" s="903">
        <v>0.01</v>
      </c>
      <c r="S3" s="903">
        <v>0.01</v>
      </c>
      <c r="T3" s="903">
        <v>0.01</v>
      </c>
      <c r="U3" s="903">
        <v>0.01</v>
      </c>
    </row>
    <row r="4" spans="1:21" ht="16.2" thickBot="1" x14ac:dyDescent="0.35">
      <c r="A4" s="179" t="s">
        <v>24</v>
      </c>
      <c r="B4" s="421"/>
      <c r="C4" s="421"/>
      <c r="D4" s="421"/>
      <c r="E4" s="229">
        <v>0.01</v>
      </c>
      <c r="F4" s="229">
        <v>0.01</v>
      </c>
      <c r="G4" s="218" t="s">
        <v>129</v>
      </c>
      <c r="I4" s="233">
        <v>0.01</v>
      </c>
      <c r="J4" s="233">
        <v>0.01</v>
      </c>
      <c r="K4" s="233">
        <v>0.01</v>
      </c>
      <c r="L4" s="233">
        <v>0.01</v>
      </c>
      <c r="M4" s="233">
        <v>0.01</v>
      </c>
      <c r="N4" s="233">
        <v>0.01</v>
      </c>
      <c r="P4" s="857">
        <v>0.01</v>
      </c>
      <c r="Q4" s="857">
        <v>0.01</v>
      </c>
      <c r="R4" s="857">
        <v>0.01</v>
      </c>
      <c r="S4" s="857">
        <v>0.01</v>
      </c>
      <c r="T4" s="857">
        <v>0.01</v>
      </c>
      <c r="U4" s="857">
        <v>0.01</v>
      </c>
    </row>
    <row r="5" spans="1:21" ht="16.2" thickBot="1" x14ac:dyDescent="0.35">
      <c r="A5" s="179" t="s">
        <v>27</v>
      </c>
      <c r="B5" s="230"/>
      <c r="C5" s="230">
        <v>4.7000000000000002E-3</v>
      </c>
      <c r="D5" s="230"/>
      <c r="E5" s="230">
        <v>4.8999999999999998E-3</v>
      </c>
      <c r="F5" s="230">
        <v>5.0000000000000001E-3</v>
      </c>
      <c r="G5" s="220" t="s">
        <v>130</v>
      </c>
      <c r="I5" s="360">
        <v>5.0000000000000001E-3</v>
      </c>
      <c r="J5" s="230">
        <v>5.0000000000000001E-3</v>
      </c>
      <c r="K5" s="230">
        <v>5.0000000000000001E-3</v>
      </c>
      <c r="L5" s="230">
        <v>5.0000000000000001E-3</v>
      </c>
      <c r="M5" s="230">
        <v>5.0000000000000001E-3</v>
      </c>
      <c r="N5" s="230">
        <v>5.0000000000000001E-3</v>
      </c>
      <c r="P5" s="904">
        <v>5.0000000000000001E-3</v>
      </c>
      <c r="Q5" s="905">
        <v>5.0000000000000001E-3</v>
      </c>
      <c r="R5" s="905">
        <v>5.0000000000000001E-3</v>
      </c>
      <c r="S5" s="905">
        <v>5.0000000000000001E-3</v>
      </c>
      <c r="T5" s="905">
        <v>5.0000000000000001E-3</v>
      </c>
      <c r="U5" s="905">
        <v>5.0000000000000001E-3</v>
      </c>
    </row>
    <row r="6" spans="1:21" ht="16.2" thickBot="1" x14ac:dyDescent="0.35">
      <c r="A6" s="179" t="s">
        <v>26</v>
      </c>
      <c r="B6" s="421"/>
      <c r="C6" s="421"/>
      <c r="D6" s="421"/>
      <c r="E6" s="231">
        <v>5.0000000000000001E-3</v>
      </c>
      <c r="F6" s="231">
        <v>5.0000000000000001E-3</v>
      </c>
      <c r="G6" s="222" t="s">
        <v>128</v>
      </c>
      <c r="I6" s="234">
        <v>5.1999999999999998E-3</v>
      </c>
      <c r="J6" s="234">
        <v>5.4000000000000003E-3</v>
      </c>
      <c r="K6" s="234">
        <v>5.5999999999999999E-3</v>
      </c>
      <c r="L6" s="234">
        <v>5.7999999999999996E-3</v>
      </c>
      <c r="M6" s="234">
        <v>6.0000000000000001E-3</v>
      </c>
      <c r="N6" s="234">
        <v>6.1999999999999998E-3</v>
      </c>
      <c r="P6" s="901">
        <v>5.5999999999999999E-3</v>
      </c>
      <c r="Q6" s="901">
        <v>5.5999999999999999E-3</v>
      </c>
      <c r="R6" s="901">
        <v>5.5999999999999999E-3</v>
      </c>
      <c r="S6" s="901">
        <v>5.5999999999999999E-3</v>
      </c>
      <c r="T6" s="901">
        <v>5.5999999999999999E-3</v>
      </c>
      <c r="U6" s="901">
        <v>5.5999999999999999E-3</v>
      </c>
    </row>
    <row r="7" spans="1:21" ht="16.2" thickBot="1" x14ac:dyDescent="0.35">
      <c r="A7" s="180" t="s">
        <v>28</v>
      </c>
      <c r="B7" s="422"/>
      <c r="C7" s="422"/>
      <c r="D7" s="422"/>
      <c r="E7" s="982">
        <v>0.01</v>
      </c>
      <c r="F7" s="982">
        <v>0.01</v>
      </c>
      <c r="G7" s="222" t="s">
        <v>130</v>
      </c>
      <c r="I7" s="982">
        <v>0.01</v>
      </c>
      <c r="J7" s="982">
        <v>0.01</v>
      </c>
      <c r="K7" s="982">
        <v>0.01</v>
      </c>
      <c r="L7" s="982">
        <v>0.01</v>
      </c>
      <c r="M7" s="982">
        <v>0.01</v>
      </c>
      <c r="N7" s="982">
        <v>0.01</v>
      </c>
      <c r="P7" s="982">
        <v>0.01</v>
      </c>
      <c r="Q7" s="982">
        <v>0.01</v>
      </c>
      <c r="R7" s="982">
        <v>0.01</v>
      </c>
      <c r="S7" s="982">
        <v>0.01</v>
      </c>
      <c r="T7" s="982">
        <v>0.01</v>
      </c>
      <c r="U7" s="982">
        <v>0.01</v>
      </c>
    </row>
    <row r="8" spans="1:21" ht="16.2" thickBot="1" x14ac:dyDescent="0.35">
      <c r="A8" s="1361" t="s">
        <v>76</v>
      </c>
      <c r="B8" s="402"/>
      <c r="C8" s="402"/>
      <c r="D8" s="402"/>
      <c r="E8" s="1364">
        <v>0.01</v>
      </c>
      <c r="F8" s="1364">
        <v>0.01</v>
      </c>
      <c r="G8" s="224" t="s">
        <v>131</v>
      </c>
      <c r="I8" s="1360">
        <v>0.01</v>
      </c>
      <c r="J8" s="1360">
        <v>0.01</v>
      </c>
      <c r="K8" s="1360">
        <v>0.01</v>
      </c>
      <c r="L8" s="1360">
        <v>0.01</v>
      </c>
      <c r="M8" s="1360">
        <v>0.01</v>
      </c>
      <c r="N8" s="1360">
        <v>0.01</v>
      </c>
      <c r="P8" s="1359">
        <v>0.01</v>
      </c>
      <c r="Q8" s="1359">
        <v>0.01</v>
      </c>
      <c r="R8" s="1359">
        <v>0.01</v>
      </c>
      <c r="S8" s="1359">
        <v>0.01</v>
      </c>
      <c r="T8" s="1359">
        <v>0.01</v>
      </c>
      <c r="U8" s="1359">
        <v>0.01</v>
      </c>
    </row>
    <row r="9" spans="1:21" ht="16.2" thickBot="1" x14ac:dyDescent="0.35">
      <c r="A9" s="1362"/>
      <c r="B9" s="403"/>
      <c r="C9" s="403"/>
      <c r="D9" s="403"/>
      <c r="E9" s="1365"/>
      <c r="F9" s="1365"/>
      <c r="G9" s="358" t="s">
        <v>162</v>
      </c>
      <c r="I9" s="1360"/>
      <c r="J9" s="1360"/>
      <c r="K9" s="1360"/>
      <c r="L9" s="1360"/>
      <c r="M9" s="1360"/>
      <c r="N9" s="1360"/>
      <c r="P9" s="1359"/>
      <c r="Q9" s="1359"/>
      <c r="R9" s="1359"/>
      <c r="S9" s="1359"/>
      <c r="T9" s="1359"/>
      <c r="U9" s="1359"/>
    </row>
    <row r="10" spans="1:21" ht="16.2" thickBot="1" x14ac:dyDescent="0.35">
      <c r="A10" s="1362"/>
      <c r="B10" s="403"/>
      <c r="C10" s="403"/>
      <c r="D10" s="403"/>
      <c r="E10" s="1365"/>
      <c r="F10" s="1365"/>
      <c r="G10" s="225" t="s">
        <v>139</v>
      </c>
      <c r="I10" s="1360"/>
      <c r="J10" s="1360"/>
      <c r="K10" s="1360"/>
      <c r="L10" s="1360"/>
      <c r="M10" s="1360"/>
      <c r="N10" s="1360"/>
      <c r="P10" s="1359"/>
      <c r="Q10" s="1359"/>
      <c r="R10" s="1359"/>
      <c r="S10" s="1359"/>
      <c r="T10" s="1359"/>
      <c r="U10" s="1359"/>
    </row>
    <row r="11" spans="1:21" ht="15" customHeight="1" thickBot="1" x14ac:dyDescent="0.3">
      <c r="A11" s="1362"/>
      <c r="B11" s="403"/>
      <c r="C11" s="403"/>
      <c r="D11" s="403"/>
      <c r="E11" s="1365"/>
      <c r="F11" s="1365"/>
      <c r="G11" s="226" t="s">
        <v>140</v>
      </c>
      <c r="I11" s="1360"/>
      <c r="J11" s="1360"/>
      <c r="K11" s="1360"/>
      <c r="L11" s="1360"/>
      <c r="M11" s="1360"/>
      <c r="N11" s="1360"/>
      <c r="P11" s="1359"/>
      <c r="Q11" s="1359"/>
      <c r="R11" s="1359"/>
      <c r="S11" s="1359"/>
      <c r="T11" s="1359"/>
      <c r="U11" s="1359"/>
    </row>
    <row r="12" spans="1:21" ht="15" customHeight="1" thickBot="1" x14ac:dyDescent="0.3">
      <c r="A12" s="1362"/>
      <c r="B12" s="403"/>
      <c r="C12" s="403"/>
      <c r="D12" s="403"/>
      <c r="E12" s="1365"/>
      <c r="F12" s="1365"/>
      <c r="G12" s="226" t="s">
        <v>141</v>
      </c>
      <c r="I12" s="1360"/>
      <c r="J12" s="1360"/>
      <c r="K12" s="1360"/>
      <c r="L12" s="1360"/>
      <c r="M12" s="1360"/>
      <c r="N12" s="1360"/>
      <c r="P12" s="1359"/>
      <c r="Q12" s="1359"/>
      <c r="R12" s="1359"/>
      <c r="S12" s="1359"/>
      <c r="T12" s="1359"/>
      <c r="U12" s="1359"/>
    </row>
    <row r="13" spans="1:21" ht="15" customHeight="1" thickBot="1" x14ac:dyDescent="0.3">
      <c r="A13" s="1362"/>
      <c r="B13" s="403"/>
      <c r="C13" s="403"/>
      <c r="D13" s="403"/>
      <c r="E13" s="1365"/>
      <c r="F13" s="1365"/>
      <c r="G13" s="226" t="s">
        <v>142</v>
      </c>
      <c r="I13" s="1360"/>
      <c r="J13" s="1360"/>
      <c r="K13" s="1360"/>
      <c r="L13" s="1360"/>
      <c r="M13" s="1360"/>
      <c r="N13" s="1360"/>
      <c r="P13" s="1359"/>
      <c r="Q13" s="1359"/>
      <c r="R13" s="1359"/>
      <c r="S13" s="1359"/>
      <c r="T13" s="1359"/>
      <c r="U13" s="1359"/>
    </row>
    <row r="14" spans="1:21" ht="15" customHeight="1" thickBot="1" x14ac:dyDescent="0.3">
      <c r="A14" s="1362"/>
      <c r="B14" s="403"/>
      <c r="C14" s="403"/>
      <c r="D14" s="403"/>
      <c r="E14" s="1365"/>
      <c r="F14" s="1365"/>
      <c r="G14" s="226" t="s">
        <v>132</v>
      </c>
      <c r="I14" s="1360"/>
      <c r="J14" s="1360"/>
      <c r="K14" s="1360"/>
      <c r="L14" s="1360"/>
      <c r="M14" s="1360"/>
      <c r="N14" s="1360"/>
      <c r="P14" s="1359"/>
      <c r="Q14" s="1359"/>
      <c r="R14" s="1359"/>
      <c r="S14" s="1359"/>
      <c r="T14" s="1359"/>
      <c r="U14" s="1359"/>
    </row>
    <row r="15" spans="1:21" ht="15" customHeight="1" thickBot="1" x14ac:dyDescent="0.3">
      <c r="A15" s="1362"/>
      <c r="B15" s="403"/>
      <c r="C15" s="403"/>
      <c r="D15" s="403"/>
      <c r="E15" s="1365"/>
      <c r="F15" s="1365"/>
      <c r="G15" s="226" t="s">
        <v>133</v>
      </c>
      <c r="I15" s="1360"/>
      <c r="J15" s="1360"/>
      <c r="K15" s="1360"/>
      <c r="L15" s="1360"/>
      <c r="M15" s="1360"/>
      <c r="N15" s="1360"/>
      <c r="P15" s="1359"/>
      <c r="Q15" s="1359"/>
      <c r="R15" s="1359"/>
      <c r="S15" s="1359"/>
      <c r="T15" s="1359"/>
      <c r="U15" s="1359"/>
    </row>
    <row r="16" spans="1:21" ht="15" customHeight="1" thickBot="1" x14ac:dyDescent="0.3">
      <c r="A16" s="1362"/>
      <c r="B16" s="403"/>
      <c r="C16" s="403"/>
      <c r="D16" s="403"/>
      <c r="E16" s="1365"/>
      <c r="F16" s="1365"/>
      <c r="G16" s="226" t="s">
        <v>143</v>
      </c>
      <c r="I16" s="1360"/>
      <c r="J16" s="1360"/>
      <c r="K16" s="1360"/>
      <c r="L16" s="1360"/>
      <c r="M16" s="1360"/>
      <c r="N16" s="1360"/>
      <c r="P16" s="1359"/>
      <c r="Q16" s="1359"/>
      <c r="R16" s="1359"/>
      <c r="S16" s="1359"/>
      <c r="T16" s="1359"/>
      <c r="U16" s="1359"/>
    </row>
    <row r="17" spans="1:21" ht="15" customHeight="1" thickBot="1" x14ac:dyDescent="0.3">
      <c r="A17" s="1362"/>
      <c r="B17" s="403"/>
      <c r="C17" s="403"/>
      <c r="D17" s="403"/>
      <c r="E17" s="1365"/>
      <c r="F17" s="1365"/>
      <c r="G17" s="226" t="s">
        <v>134</v>
      </c>
      <c r="I17" s="1360"/>
      <c r="J17" s="1360"/>
      <c r="K17" s="1360"/>
      <c r="L17" s="1360"/>
      <c r="M17" s="1360"/>
      <c r="N17" s="1360"/>
      <c r="P17" s="1359"/>
      <c r="Q17" s="1359"/>
      <c r="R17" s="1359"/>
      <c r="S17" s="1359"/>
      <c r="T17" s="1359"/>
      <c r="U17" s="1359"/>
    </row>
    <row r="18" spans="1:21" ht="15" customHeight="1" thickBot="1" x14ac:dyDescent="0.3">
      <c r="A18" s="1362"/>
      <c r="B18" s="403"/>
      <c r="C18" s="403"/>
      <c r="D18" s="403"/>
      <c r="E18" s="1365"/>
      <c r="F18" s="1365"/>
      <c r="G18" s="226" t="s">
        <v>135</v>
      </c>
      <c r="I18" s="1360"/>
      <c r="J18" s="1360"/>
      <c r="K18" s="1360"/>
      <c r="L18" s="1360"/>
      <c r="M18" s="1360"/>
      <c r="N18" s="1360"/>
      <c r="P18" s="1359"/>
      <c r="Q18" s="1359"/>
      <c r="R18" s="1359"/>
      <c r="S18" s="1359"/>
      <c r="T18" s="1359"/>
      <c r="U18" s="1359"/>
    </row>
    <row r="19" spans="1:21" ht="15" customHeight="1" thickBot="1" x14ac:dyDescent="0.3">
      <c r="A19" s="1362"/>
      <c r="B19" s="403"/>
      <c r="C19" s="403"/>
      <c r="D19" s="403"/>
      <c r="E19" s="1365"/>
      <c r="F19" s="1365"/>
      <c r="G19" s="226" t="s">
        <v>136</v>
      </c>
      <c r="I19" s="1360"/>
      <c r="J19" s="1360"/>
      <c r="K19" s="1360"/>
      <c r="L19" s="1360"/>
      <c r="M19" s="1360"/>
      <c r="N19" s="1360"/>
      <c r="P19" s="1359"/>
      <c r="Q19" s="1359"/>
      <c r="R19" s="1359"/>
      <c r="S19" s="1359"/>
      <c r="T19" s="1359"/>
      <c r="U19" s="1359"/>
    </row>
    <row r="20" spans="1:21" ht="15" customHeight="1" thickBot="1" x14ac:dyDescent="0.3">
      <c r="A20" s="1362"/>
      <c r="B20" s="403"/>
      <c r="C20" s="403"/>
      <c r="D20" s="403"/>
      <c r="E20" s="1365"/>
      <c r="F20" s="1365"/>
      <c r="G20" s="226" t="s">
        <v>137</v>
      </c>
      <c r="I20" s="1360"/>
      <c r="J20" s="1360"/>
      <c r="K20" s="1360"/>
      <c r="L20" s="1360"/>
      <c r="M20" s="1360"/>
      <c r="N20" s="1360"/>
      <c r="P20" s="1359"/>
      <c r="Q20" s="1359"/>
      <c r="R20" s="1359"/>
      <c r="S20" s="1359"/>
      <c r="T20" s="1359"/>
      <c r="U20" s="1359"/>
    </row>
    <row r="21" spans="1:21" ht="15" customHeight="1" thickBot="1" x14ac:dyDescent="0.3">
      <c r="A21" s="1362"/>
      <c r="B21" s="403"/>
      <c r="C21" s="403"/>
      <c r="D21" s="403"/>
      <c r="E21" s="1365"/>
      <c r="F21" s="1365"/>
      <c r="G21" s="226" t="s">
        <v>138</v>
      </c>
      <c r="I21" s="1360"/>
      <c r="J21" s="1360"/>
      <c r="K21" s="1360"/>
      <c r="L21" s="1360"/>
      <c r="M21" s="1360"/>
      <c r="N21" s="1360"/>
      <c r="P21" s="1359"/>
      <c r="Q21" s="1359"/>
      <c r="R21" s="1359"/>
      <c r="S21" s="1359"/>
      <c r="T21" s="1359"/>
      <c r="U21" s="1359"/>
    </row>
    <row r="22" spans="1:21" ht="16.2" thickBot="1" x14ac:dyDescent="0.35">
      <c r="A22" s="1362"/>
      <c r="B22" s="403"/>
      <c r="C22" s="403"/>
      <c r="D22" s="403"/>
      <c r="E22" s="1365"/>
      <c r="F22" s="1365"/>
      <c r="G22" s="225" t="s">
        <v>163</v>
      </c>
      <c r="I22" s="1360"/>
      <c r="J22" s="1360"/>
      <c r="K22" s="1360"/>
      <c r="L22" s="1360"/>
      <c r="M22" s="1360"/>
      <c r="N22" s="1360"/>
      <c r="P22" s="1359"/>
      <c r="Q22" s="1359"/>
      <c r="R22" s="1359"/>
      <c r="S22" s="1359"/>
      <c r="T22" s="1359"/>
      <c r="U22" s="1359"/>
    </row>
    <row r="23" spans="1:21" ht="34.5" customHeight="1" thickBot="1" x14ac:dyDescent="0.35">
      <c r="A23" s="1363"/>
      <c r="B23" s="404"/>
      <c r="C23" s="404"/>
      <c r="D23" s="404"/>
      <c r="E23" s="1366"/>
      <c r="F23" s="1366"/>
      <c r="G23" s="359" t="s">
        <v>164</v>
      </c>
      <c r="I23" s="1360"/>
      <c r="J23" s="1360"/>
      <c r="K23" s="1360"/>
      <c r="L23" s="1360"/>
      <c r="M23" s="1360"/>
      <c r="N23" s="1360"/>
      <c r="P23" s="1359"/>
      <c r="Q23" s="1359"/>
      <c r="R23" s="1359"/>
      <c r="S23" s="1359"/>
      <c r="T23" s="1359"/>
      <c r="U23" s="1359"/>
    </row>
  </sheetData>
  <mergeCells count="15">
    <mergeCell ref="L8:L23"/>
    <mergeCell ref="M8:M23"/>
    <mergeCell ref="N8:N23"/>
    <mergeCell ref="A8:A23"/>
    <mergeCell ref="E8:E23"/>
    <mergeCell ref="F8:F23"/>
    <mergeCell ref="I8:I23"/>
    <mergeCell ref="J8:J23"/>
    <mergeCell ref="K8:K23"/>
    <mergeCell ref="U8:U23"/>
    <mergeCell ref="P8:P23"/>
    <mergeCell ref="Q8:Q23"/>
    <mergeCell ref="R8:R23"/>
    <mergeCell ref="S8:S23"/>
    <mergeCell ref="T8:T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T221"/>
  <sheetViews>
    <sheetView topLeftCell="A215" zoomScaleNormal="100" workbookViewId="0">
      <selection activeCell="P143" sqref="P143"/>
    </sheetView>
  </sheetViews>
  <sheetFormatPr baseColWidth="10" defaultRowHeight="13.2" x14ac:dyDescent="0.25"/>
  <cols>
    <col min="1" max="1" width="10" customWidth="1"/>
    <col min="2" max="2" width="11.44140625" style="469"/>
  </cols>
  <sheetData>
    <row r="3" spans="1:8" ht="13.8" thickBot="1" x14ac:dyDescent="0.3">
      <c r="A3" s="3"/>
      <c r="B3" s="1"/>
      <c r="C3" s="94" t="s">
        <v>23</v>
      </c>
      <c r="D3" s="94" t="s">
        <v>24</v>
      </c>
      <c r="E3" s="94" t="s">
        <v>27</v>
      </c>
      <c r="F3" s="94" t="s">
        <v>26</v>
      </c>
      <c r="G3" s="94" t="s">
        <v>28</v>
      </c>
      <c r="H3" s="94" t="s">
        <v>29</v>
      </c>
    </row>
    <row r="4" spans="1:8" ht="20.100000000000001" customHeight="1" thickBot="1" x14ac:dyDescent="0.3">
      <c r="A4" s="1367" t="s">
        <v>0</v>
      </c>
      <c r="B4" s="2">
        <v>2008</v>
      </c>
      <c r="C4" s="31">
        <v>0.11799999999999999</v>
      </c>
      <c r="D4" s="40">
        <v>0.08</v>
      </c>
      <c r="E4" s="42">
        <v>0.13800000000000001</v>
      </c>
      <c r="F4" s="44">
        <v>0.15</v>
      </c>
      <c r="G4" s="46">
        <v>0.10100000000000001</v>
      </c>
      <c r="H4" s="48">
        <v>0.15</v>
      </c>
    </row>
    <row r="5" spans="1:8" ht="20.100000000000001" customHeight="1" thickBot="1" x14ac:dyDescent="0.3">
      <c r="A5" s="1367"/>
      <c r="B5" s="2">
        <v>2009</v>
      </c>
      <c r="C5" s="31">
        <v>0.11799999999999999</v>
      </c>
      <c r="D5" s="40">
        <v>8.2000000000000003E-2</v>
      </c>
      <c r="E5" s="42">
        <v>0.14099999999999999</v>
      </c>
      <c r="F5" s="92">
        <v>0.153</v>
      </c>
      <c r="G5" s="46">
        <v>0.10100000000000001</v>
      </c>
      <c r="H5" s="48">
        <v>0.15</v>
      </c>
    </row>
    <row r="6" spans="1:8" ht="20.100000000000001" customHeight="1" thickBot="1" x14ac:dyDescent="0.3">
      <c r="A6" s="1367"/>
      <c r="B6" s="2">
        <v>2010</v>
      </c>
      <c r="C6" s="31">
        <v>0.11799999999999999</v>
      </c>
      <c r="D6" s="40">
        <v>9.2999999999999999E-2</v>
      </c>
      <c r="E6" s="42">
        <v>0.14399999999999999</v>
      </c>
      <c r="F6" s="92">
        <v>0.153</v>
      </c>
      <c r="G6" s="46">
        <v>0.10299999999999999</v>
      </c>
      <c r="H6" s="48">
        <v>0.15</v>
      </c>
    </row>
    <row r="7" spans="1:8" ht="20.100000000000001" customHeight="1" thickBot="1" x14ac:dyDescent="0.3">
      <c r="A7" s="1367"/>
      <c r="B7" s="2">
        <v>2011</v>
      </c>
      <c r="C7" s="31">
        <v>0.11799999999999999</v>
      </c>
      <c r="D7" s="97">
        <v>0.10299999999999999</v>
      </c>
      <c r="E7" s="42">
        <v>0.14699999999999999</v>
      </c>
      <c r="F7" s="92">
        <v>0.156</v>
      </c>
      <c r="G7" s="46">
        <v>0.10299999999999999</v>
      </c>
      <c r="H7" s="48">
        <v>0.15</v>
      </c>
    </row>
    <row r="8" spans="1:8" ht="20.100000000000001" customHeight="1" thickBot="1" x14ac:dyDescent="0.3">
      <c r="A8" s="1367"/>
      <c r="B8" s="2">
        <v>2012</v>
      </c>
      <c r="C8" s="31">
        <v>0.11799999999999999</v>
      </c>
      <c r="D8" s="97"/>
      <c r="E8" s="42">
        <v>0.15</v>
      </c>
      <c r="F8" s="92">
        <v>0.159</v>
      </c>
      <c r="G8" s="46">
        <v>0.10299999999999999</v>
      </c>
      <c r="H8" s="48">
        <v>0.15</v>
      </c>
    </row>
    <row r="9" spans="1:8" ht="20.100000000000001" customHeight="1" thickBot="1" x14ac:dyDescent="0.3">
      <c r="A9" s="1367"/>
      <c r="B9" s="2">
        <v>2013</v>
      </c>
      <c r="C9" s="31">
        <v>0.11</v>
      </c>
      <c r="D9" s="97">
        <v>0.11899999999999999</v>
      </c>
      <c r="E9" s="42">
        <v>0.14849999999999999</v>
      </c>
      <c r="F9" s="92">
        <v>0.16700000000000001</v>
      </c>
      <c r="G9" s="393">
        <f>0.103+0.0122</f>
        <v>0.1152</v>
      </c>
      <c r="H9" s="48">
        <v>0.15</v>
      </c>
    </row>
    <row r="10" spans="1:8" ht="20.100000000000001" customHeight="1" thickBot="1" x14ac:dyDescent="0.3">
      <c r="A10" s="1367"/>
      <c r="B10" s="2">
        <v>2014</v>
      </c>
      <c r="C10" s="31">
        <v>0.12</v>
      </c>
      <c r="D10" s="97">
        <v>0.122</v>
      </c>
      <c r="E10" s="284">
        <v>0.14699999999999999</v>
      </c>
      <c r="F10" s="92">
        <v>0.17499999999999999</v>
      </c>
      <c r="G10" s="46">
        <f>+G9+0.0122</f>
        <v>0.12739999999999999</v>
      </c>
      <c r="H10" s="48">
        <v>0.15</v>
      </c>
    </row>
    <row r="11" spans="1:8" ht="20.100000000000001" customHeight="1" thickBot="1" x14ac:dyDescent="0.3">
      <c r="A11" s="1367"/>
      <c r="B11" s="2">
        <v>2015</v>
      </c>
      <c r="C11" s="31">
        <v>0.13</v>
      </c>
      <c r="D11" s="97">
        <v>0.124</v>
      </c>
      <c r="E11" s="284">
        <v>0.14549999999999999</v>
      </c>
      <c r="F11" s="92">
        <v>0.184</v>
      </c>
      <c r="G11" s="46">
        <f>+G10+0.0122</f>
        <v>0.13959999999999997</v>
      </c>
      <c r="H11" s="48">
        <v>0.15</v>
      </c>
    </row>
    <row r="12" spans="1:8" ht="20.100000000000001" customHeight="1" thickBot="1" x14ac:dyDescent="0.3">
      <c r="A12" s="1367"/>
      <c r="B12" s="2">
        <v>2016</v>
      </c>
      <c r="C12" s="31">
        <v>0.13</v>
      </c>
      <c r="D12" s="97">
        <v>0.127</v>
      </c>
      <c r="E12" s="284">
        <v>0.14399999999999999</v>
      </c>
      <c r="F12" s="92">
        <v>0.193</v>
      </c>
      <c r="G12" s="46">
        <f>+G11+0.0122</f>
        <v>0.15179999999999996</v>
      </c>
      <c r="H12" s="48">
        <v>0.15</v>
      </c>
    </row>
    <row r="13" spans="1:8" ht="20.100000000000001" customHeight="1" thickBot="1" x14ac:dyDescent="0.3">
      <c r="A13" s="1367"/>
      <c r="B13" s="2">
        <v>2017</v>
      </c>
      <c r="C13" s="31">
        <v>0.14000000000000001</v>
      </c>
      <c r="D13" s="97">
        <v>0.129</v>
      </c>
      <c r="E13" s="284">
        <v>0.1426</v>
      </c>
      <c r="F13" s="92">
        <v>0.20300000000000001</v>
      </c>
      <c r="G13" s="46">
        <f>+G12+0.0122</f>
        <v>0.16399999999999995</v>
      </c>
      <c r="H13" s="48">
        <v>0.15</v>
      </c>
    </row>
    <row r="14" spans="1:8" ht="20.100000000000001" customHeight="1" thickBot="1" x14ac:dyDescent="0.3">
      <c r="A14" s="1367"/>
      <c r="B14" s="2">
        <v>2018</v>
      </c>
      <c r="C14" s="31">
        <v>0.15</v>
      </c>
      <c r="D14" s="97">
        <v>0.13200000000000001</v>
      </c>
      <c r="E14" s="42">
        <v>0.14119999999999999</v>
      </c>
      <c r="F14" s="92">
        <v>0.21299999999999999</v>
      </c>
      <c r="G14" s="46">
        <v>0.16399999999999995</v>
      </c>
      <c r="H14" s="48">
        <v>0.15</v>
      </c>
    </row>
    <row r="15" spans="1:8" ht="20.100000000000001" customHeight="1" thickBot="1" x14ac:dyDescent="0.3">
      <c r="A15" s="1367"/>
      <c r="B15" s="2">
        <v>2019</v>
      </c>
      <c r="C15" s="31">
        <v>0.15</v>
      </c>
      <c r="D15" s="97">
        <v>0.13200000000000001</v>
      </c>
      <c r="E15" s="42">
        <v>0.14119999999999999</v>
      </c>
      <c r="F15" s="92">
        <v>0.192</v>
      </c>
      <c r="G15" s="46">
        <v>0.16399999999999995</v>
      </c>
      <c r="H15" s="48">
        <v>0.15</v>
      </c>
    </row>
    <row r="16" spans="1:8" ht="20.100000000000001" customHeight="1" thickBot="1" x14ac:dyDescent="0.3">
      <c r="A16" s="1367"/>
      <c r="B16" s="2">
        <v>2020</v>
      </c>
      <c r="C16" s="31">
        <v>0.15</v>
      </c>
      <c r="D16" s="97">
        <v>0.13200000000000001</v>
      </c>
      <c r="E16" s="42">
        <v>0.14119999999999999</v>
      </c>
      <c r="F16" s="92">
        <v>0.192</v>
      </c>
      <c r="G16" s="46">
        <v>0.16399999999999995</v>
      </c>
      <c r="H16" s="48">
        <v>0.15</v>
      </c>
    </row>
    <row r="17" spans="1:9" ht="20.100000000000001" customHeight="1" thickBot="1" x14ac:dyDescent="0.3">
      <c r="A17" s="1367"/>
      <c r="B17" s="2">
        <v>2021</v>
      </c>
      <c r="C17" s="31">
        <v>0.15</v>
      </c>
      <c r="D17" s="97">
        <v>0.13200000000000001</v>
      </c>
      <c r="E17" s="42">
        <v>0.14119999999999999</v>
      </c>
      <c r="F17" s="92">
        <v>0.192</v>
      </c>
      <c r="G17" s="46">
        <v>0.16399999999999995</v>
      </c>
      <c r="H17" s="48">
        <v>0.15</v>
      </c>
    </row>
    <row r="18" spans="1:9" ht="20.100000000000001" customHeight="1" thickBot="1" x14ac:dyDescent="0.3">
      <c r="A18" s="1367"/>
      <c r="B18" s="2">
        <v>2022</v>
      </c>
      <c r="C18" s="31">
        <v>0.15</v>
      </c>
      <c r="D18" s="97">
        <v>0.13200000000000001</v>
      </c>
      <c r="E18" s="42">
        <v>0.14119999999999999</v>
      </c>
      <c r="F18" s="92">
        <v>0.192</v>
      </c>
      <c r="G18" s="46">
        <v>0.16399999999999995</v>
      </c>
      <c r="H18" s="48">
        <v>0.15</v>
      </c>
    </row>
    <row r="19" spans="1:9" ht="20.100000000000001" customHeight="1" thickBot="1" x14ac:dyDescent="0.3">
      <c r="A19" s="1367"/>
      <c r="B19" s="2">
        <v>2023</v>
      </c>
      <c r="C19" s="915">
        <v>0.15</v>
      </c>
      <c r="D19" s="916">
        <v>0.13200000000000001</v>
      </c>
      <c r="E19" s="917">
        <v>0.14119999999999999</v>
      </c>
      <c r="F19" s="918">
        <v>0.192</v>
      </c>
      <c r="G19" s="46">
        <v>0.16399999999999995</v>
      </c>
      <c r="H19" s="919">
        <v>0.15</v>
      </c>
    </row>
    <row r="20" spans="1:9" ht="20.100000000000001" customHeight="1" thickBot="1" x14ac:dyDescent="0.3">
      <c r="A20" s="1367"/>
      <c r="B20" s="2">
        <v>2024</v>
      </c>
      <c r="C20" s="921">
        <v>0.15</v>
      </c>
      <c r="D20" s="40">
        <v>0.13200000000000001</v>
      </c>
      <c r="E20" s="920">
        <v>0.14119999999999999</v>
      </c>
      <c r="F20" s="44">
        <v>0.192</v>
      </c>
      <c r="G20" s="46">
        <v>0.16399999999999995</v>
      </c>
      <c r="H20" s="922">
        <v>0.15</v>
      </c>
    </row>
    <row r="21" spans="1:9" ht="20.100000000000001" customHeight="1" x14ac:dyDescent="0.25">
      <c r="C21" s="755">
        <f>+(C20-C4)/C4</f>
        <v>0.2711864406779661</v>
      </c>
      <c r="D21" s="755">
        <f t="shared" ref="D21:H21" si="0">+(D20-D4)/D4</f>
        <v>0.65</v>
      </c>
      <c r="E21" s="755">
        <f t="shared" si="0"/>
        <v>2.3188405797101307E-2</v>
      </c>
      <c r="F21" s="755">
        <f t="shared" si="0"/>
        <v>0.28000000000000008</v>
      </c>
      <c r="G21" s="755">
        <f t="shared" si="0"/>
        <v>0.62376237623762321</v>
      </c>
      <c r="H21" s="755">
        <f t="shared" si="0"/>
        <v>0</v>
      </c>
      <c r="I21" s="124" t="s">
        <v>226</v>
      </c>
    </row>
    <row r="22" spans="1:9" ht="20.100000000000001" customHeight="1" x14ac:dyDescent="0.25">
      <c r="C22" s="551"/>
      <c r="D22" s="552"/>
      <c r="E22" s="551"/>
      <c r="F22" s="551"/>
      <c r="G22" s="551"/>
      <c r="H22" s="551"/>
    </row>
    <row r="23" spans="1:9" ht="20.100000000000001" customHeight="1" thickBot="1" x14ac:dyDescent="0.3">
      <c r="B23" s="2"/>
      <c r="C23" s="94" t="s">
        <v>23</v>
      </c>
      <c r="D23" s="94" t="s">
        <v>24</v>
      </c>
      <c r="E23" s="94" t="s">
        <v>27</v>
      </c>
      <c r="F23" s="94" t="s">
        <v>26</v>
      </c>
      <c r="G23" s="94" t="s">
        <v>28</v>
      </c>
      <c r="H23" s="94" t="s">
        <v>29</v>
      </c>
    </row>
    <row r="24" spans="1:9" ht="20.100000000000001" customHeight="1" thickBot="1" x14ac:dyDescent="0.3">
      <c r="A24" s="1367" t="s">
        <v>1</v>
      </c>
      <c r="B24" s="2">
        <v>2008</v>
      </c>
      <c r="C24" s="31">
        <v>0.1</v>
      </c>
      <c r="D24" s="40">
        <v>0.05</v>
      </c>
      <c r="E24" s="42">
        <v>9.1999999999999998E-2</v>
      </c>
      <c r="F24" s="44">
        <v>0.1</v>
      </c>
      <c r="G24" s="46">
        <v>6.7000000000000004E-2</v>
      </c>
      <c r="H24" s="48">
        <v>0.12</v>
      </c>
    </row>
    <row r="25" spans="1:9" ht="20.100000000000001" customHeight="1" thickBot="1" x14ac:dyDescent="0.3">
      <c r="A25" s="1367"/>
      <c r="B25" s="2">
        <v>2009</v>
      </c>
      <c r="C25" s="31">
        <v>0.1</v>
      </c>
      <c r="D25" s="40">
        <v>5.1999999999999998E-2</v>
      </c>
      <c r="E25" s="42">
        <v>9.4E-2</v>
      </c>
      <c r="F25" s="92">
        <v>0.10199999999999999</v>
      </c>
      <c r="G25" s="46">
        <v>6.7000000000000004E-2</v>
      </c>
      <c r="H25" s="48">
        <v>0.12</v>
      </c>
    </row>
    <row r="26" spans="1:9" ht="20.100000000000001" customHeight="1" thickBot="1" x14ac:dyDescent="0.3">
      <c r="A26" s="1367"/>
      <c r="B26" s="2">
        <v>2010</v>
      </c>
      <c r="C26" s="31">
        <v>0.1</v>
      </c>
      <c r="D26" s="40">
        <v>5.8000000000000003E-2</v>
      </c>
      <c r="E26" s="42">
        <v>9.6000000000000002E-2</v>
      </c>
      <c r="F26" s="92">
        <v>0.10199999999999999</v>
      </c>
      <c r="G26" s="46">
        <v>6.8000000000000005E-2</v>
      </c>
      <c r="H26" s="48">
        <v>0.12</v>
      </c>
      <c r="I26" s="13"/>
    </row>
    <row r="27" spans="1:9" ht="20.100000000000001" customHeight="1" thickBot="1" x14ac:dyDescent="0.3">
      <c r="A27" s="1367"/>
      <c r="B27" s="2">
        <v>2011</v>
      </c>
      <c r="C27" s="31">
        <v>0.1</v>
      </c>
      <c r="D27" s="97">
        <v>6.5000000000000002E-2</v>
      </c>
      <c r="E27" s="42">
        <v>9.8000000000000004E-2</v>
      </c>
      <c r="F27" s="92">
        <v>0.104</v>
      </c>
      <c r="G27" s="46">
        <v>6.8000000000000005E-2</v>
      </c>
      <c r="H27" s="48">
        <v>0.12</v>
      </c>
      <c r="I27" s="468"/>
    </row>
    <row r="28" spans="1:9" ht="20.100000000000001" customHeight="1" thickBot="1" x14ac:dyDescent="0.3">
      <c r="A28" s="1367"/>
      <c r="B28" s="2">
        <v>2012</v>
      </c>
      <c r="C28" s="31">
        <v>0.1</v>
      </c>
      <c r="D28" s="97">
        <v>7.2999999999999995E-2</v>
      </c>
      <c r="E28" s="42">
        <v>0.1</v>
      </c>
      <c r="F28" s="92">
        <v>0.106</v>
      </c>
      <c r="G28" s="46">
        <v>6.8000000000000005E-2</v>
      </c>
      <c r="H28" s="48">
        <v>0.12</v>
      </c>
      <c r="I28" s="468"/>
    </row>
    <row r="29" spans="1:9" ht="20.100000000000001" customHeight="1" thickBot="1" x14ac:dyDescent="0.3">
      <c r="A29" s="1367"/>
      <c r="B29" s="2">
        <v>2013</v>
      </c>
      <c r="C29" s="31">
        <v>0.11</v>
      </c>
      <c r="D29" s="97">
        <v>7.3999999999999996E-2</v>
      </c>
      <c r="E29" s="284">
        <v>9.9000000000000005E-2</v>
      </c>
      <c r="F29" s="92">
        <v>0.111</v>
      </c>
      <c r="G29" s="393">
        <f>0.068+0.0082</f>
        <v>7.6200000000000004E-2</v>
      </c>
      <c r="H29" s="48">
        <v>0.12</v>
      </c>
      <c r="I29" s="468"/>
    </row>
    <row r="30" spans="1:9" ht="20.100000000000001" customHeight="1" thickBot="1" x14ac:dyDescent="0.3">
      <c r="A30" s="1367"/>
      <c r="B30" s="2">
        <v>2014</v>
      </c>
      <c r="C30" s="31">
        <v>0.12</v>
      </c>
      <c r="D30" s="97">
        <v>7.5999999999999998E-2</v>
      </c>
      <c r="E30" s="284">
        <v>9.8000000000000004E-2</v>
      </c>
      <c r="F30" s="92">
        <v>0.11700000000000001</v>
      </c>
      <c r="G30" s="46">
        <f>+G29+0.0082</f>
        <v>8.4400000000000003E-2</v>
      </c>
      <c r="H30" s="48">
        <v>0.12</v>
      </c>
      <c r="I30" s="468"/>
    </row>
    <row r="31" spans="1:9" ht="20.100000000000001" customHeight="1" thickBot="1" x14ac:dyDescent="0.3">
      <c r="A31" s="1367"/>
      <c r="B31" s="2">
        <v>2015</v>
      </c>
      <c r="C31" s="31">
        <v>0.12</v>
      </c>
      <c r="D31" s="97">
        <v>7.6999999999999999E-2</v>
      </c>
      <c r="E31" s="284">
        <v>9.7000000000000003E-2</v>
      </c>
      <c r="F31" s="92">
        <v>0.123</v>
      </c>
      <c r="G31" s="46">
        <f>+G30+0.0082</f>
        <v>9.2600000000000002E-2</v>
      </c>
      <c r="H31" s="48">
        <v>0.12</v>
      </c>
      <c r="I31" s="468"/>
    </row>
    <row r="32" spans="1:9" ht="20.100000000000001" customHeight="1" thickBot="1" x14ac:dyDescent="0.3">
      <c r="A32" s="1367"/>
      <c r="B32" s="2">
        <v>2016</v>
      </c>
      <c r="C32" s="31">
        <v>0.13</v>
      </c>
      <c r="D32" s="97">
        <v>7.9000000000000001E-2</v>
      </c>
      <c r="E32" s="284">
        <v>9.6000000000000002E-2</v>
      </c>
      <c r="F32" s="92">
        <v>0.129</v>
      </c>
      <c r="G32" s="46">
        <f>+G31+0.0082</f>
        <v>0.1008</v>
      </c>
      <c r="H32" s="48">
        <v>0.12</v>
      </c>
      <c r="I32" s="468"/>
    </row>
    <row r="33" spans="1:9" ht="20.100000000000001" customHeight="1" thickBot="1" x14ac:dyDescent="0.3">
      <c r="A33" s="1367"/>
      <c r="B33" s="2">
        <v>2017</v>
      </c>
      <c r="C33" s="31">
        <v>0.14000000000000001</v>
      </c>
      <c r="D33" s="97">
        <v>8.1000000000000003E-2</v>
      </c>
      <c r="E33" s="284">
        <v>9.5000000000000001E-2</v>
      </c>
      <c r="F33" s="92">
        <v>0.13500000000000001</v>
      </c>
      <c r="G33" s="46">
        <f>+G32+0.0082</f>
        <v>0.109</v>
      </c>
      <c r="H33" s="48">
        <v>0.12</v>
      </c>
      <c r="I33" s="468"/>
    </row>
    <row r="34" spans="1:9" ht="20.100000000000001" customHeight="1" thickBot="1" x14ac:dyDescent="0.3">
      <c r="A34" s="1367"/>
      <c r="B34" s="2">
        <v>2018</v>
      </c>
      <c r="C34" s="31">
        <v>0.15</v>
      </c>
      <c r="D34" s="97">
        <v>8.2000000000000003E-2</v>
      </c>
      <c r="E34" s="42">
        <v>9.4100000000000003E-2</v>
      </c>
      <c r="F34" s="92">
        <v>0.14199999999999999</v>
      </c>
      <c r="G34" s="46">
        <v>0.109</v>
      </c>
      <c r="H34" s="48">
        <v>0.12</v>
      </c>
      <c r="I34" s="468"/>
    </row>
    <row r="35" spans="1:9" ht="20.100000000000001" customHeight="1" thickBot="1" x14ac:dyDescent="0.3">
      <c r="A35" s="1367"/>
      <c r="B35" s="2">
        <v>2019</v>
      </c>
      <c r="C35" s="31">
        <v>0.15</v>
      </c>
      <c r="D35" s="97">
        <v>8.2000000000000003E-2</v>
      </c>
      <c r="E35" s="42">
        <v>9.4100000000000003E-2</v>
      </c>
      <c r="F35" s="92">
        <v>0.128</v>
      </c>
      <c r="G35" s="46">
        <v>0.109</v>
      </c>
      <c r="H35" s="48">
        <v>0.12</v>
      </c>
      <c r="I35" s="468"/>
    </row>
    <row r="36" spans="1:9" ht="20.100000000000001" customHeight="1" thickBot="1" x14ac:dyDescent="0.3">
      <c r="A36" s="1367"/>
      <c r="B36" s="2">
        <v>2020</v>
      </c>
      <c r="C36" s="31">
        <v>0.15</v>
      </c>
      <c r="D36" s="97">
        <v>8.2000000000000003E-2</v>
      </c>
      <c r="E36" s="42">
        <v>9.4100000000000003E-2</v>
      </c>
      <c r="F36" s="92">
        <v>0.128</v>
      </c>
      <c r="G36" s="46">
        <v>0.109</v>
      </c>
      <c r="H36" s="48">
        <v>0.12</v>
      </c>
      <c r="I36" s="468"/>
    </row>
    <row r="37" spans="1:9" ht="20.100000000000001" customHeight="1" thickBot="1" x14ac:dyDescent="0.3">
      <c r="A37" s="1367"/>
      <c r="B37" s="2">
        <v>2021</v>
      </c>
      <c r="C37" s="31">
        <v>0.15</v>
      </c>
      <c r="D37" s="97">
        <v>8.2000000000000003E-2</v>
      </c>
      <c r="E37" s="42">
        <v>9.4100000000000003E-2</v>
      </c>
      <c r="F37" s="92">
        <v>0.128</v>
      </c>
      <c r="G37" s="46">
        <v>0.109</v>
      </c>
      <c r="H37" s="48">
        <v>0.12</v>
      </c>
      <c r="I37" s="468"/>
    </row>
    <row r="38" spans="1:9" ht="20.100000000000001" customHeight="1" thickBot="1" x14ac:dyDescent="0.3">
      <c r="A38" s="1367"/>
      <c r="B38" s="2">
        <v>2022</v>
      </c>
      <c r="C38" s="31">
        <v>0.15</v>
      </c>
      <c r="D38" s="97">
        <v>8.2000000000000003E-2</v>
      </c>
      <c r="E38" s="42">
        <v>9.4100000000000003E-2</v>
      </c>
      <c r="F38" s="92">
        <v>0.128</v>
      </c>
      <c r="G38" s="46">
        <v>0.109</v>
      </c>
      <c r="H38" s="48">
        <v>0.12</v>
      </c>
      <c r="I38" s="468"/>
    </row>
    <row r="39" spans="1:9" ht="20.100000000000001" customHeight="1" thickBot="1" x14ac:dyDescent="0.3">
      <c r="A39" s="1367"/>
      <c r="B39" s="2">
        <v>2023</v>
      </c>
      <c r="C39" s="31">
        <v>0.15</v>
      </c>
      <c r="D39" s="97">
        <v>8.2000000000000003E-2</v>
      </c>
      <c r="E39" s="42">
        <v>9.4100000000000003E-2</v>
      </c>
      <c r="F39" s="92">
        <v>0.128</v>
      </c>
      <c r="G39" s="46">
        <v>0.109</v>
      </c>
      <c r="H39" s="48">
        <v>0.12</v>
      </c>
      <c r="I39" s="468"/>
    </row>
    <row r="40" spans="1:9" ht="20.100000000000001" customHeight="1" x14ac:dyDescent="0.25">
      <c r="A40" s="1367"/>
      <c r="B40" s="2">
        <v>2024</v>
      </c>
      <c r="C40" s="31">
        <v>0.15</v>
      </c>
      <c r="D40" s="97">
        <v>8.2000000000000003E-2</v>
      </c>
      <c r="E40" s="42">
        <v>9.4100000000000003E-2</v>
      </c>
      <c r="F40" s="92">
        <v>0.128</v>
      </c>
      <c r="G40" s="46">
        <v>0.109</v>
      </c>
      <c r="H40" s="48">
        <v>0.12</v>
      </c>
      <c r="I40" s="468"/>
    </row>
    <row r="41" spans="1:9" ht="20.100000000000001" customHeight="1" x14ac:dyDescent="0.25">
      <c r="C41" s="755">
        <f>+(C40-C24)/C24</f>
        <v>0.49999999999999989</v>
      </c>
      <c r="D41" s="755">
        <f t="shared" ref="D41:H41" si="1">+(D40-D24)/D24</f>
        <v>0.64</v>
      </c>
      <c r="E41" s="755">
        <f t="shared" si="1"/>
        <v>2.2826086956521791E-2</v>
      </c>
      <c r="F41" s="755">
        <f t="shared" si="1"/>
        <v>0.27999999999999997</v>
      </c>
      <c r="G41" s="755">
        <f t="shared" si="1"/>
        <v>0.62686567164179097</v>
      </c>
      <c r="H41" s="755">
        <f t="shared" si="1"/>
        <v>0</v>
      </c>
      <c r="I41" s="124" t="s">
        <v>226</v>
      </c>
    </row>
    <row r="42" spans="1:9" ht="20.100000000000001" customHeight="1" x14ac:dyDescent="0.25">
      <c r="C42" s="13"/>
      <c r="D42" s="8"/>
      <c r="E42" s="8"/>
      <c r="F42" s="8"/>
      <c r="G42" s="8"/>
      <c r="H42" s="8"/>
      <c r="I42" s="468"/>
    </row>
    <row r="43" spans="1:9" ht="20.100000000000001" customHeight="1" thickBot="1" x14ac:dyDescent="0.3">
      <c r="A43" s="1367" t="s">
        <v>192</v>
      </c>
      <c r="B43" s="376"/>
      <c r="C43" s="2" t="s">
        <v>23</v>
      </c>
      <c r="D43" s="2" t="s">
        <v>24</v>
      </c>
      <c r="E43" s="2" t="s">
        <v>27</v>
      </c>
      <c r="F43" s="2" t="s">
        <v>26</v>
      </c>
      <c r="G43" s="2" t="s">
        <v>28</v>
      </c>
      <c r="H43" s="2" t="s">
        <v>29</v>
      </c>
      <c r="I43" s="468"/>
    </row>
    <row r="44" spans="1:9" ht="20.100000000000001" customHeight="1" thickBot="1" x14ac:dyDescent="0.3">
      <c r="A44" s="1367"/>
      <c r="B44" s="376">
        <v>2008</v>
      </c>
      <c r="C44" s="31">
        <v>0.2</v>
      </c>
      <c r="D44" s="40">
        <v>0.1</v>
      </c>
      <c r="E44" s="42">
        <v>0.184</v>
      </c>
      <c r="F44" s="44">
        <v>0.2</v>
      </c>
      <c r="G44" s="46">
        <v>0.13500000000000001</v>
      </c>
      <c r="H44" s="48">
        <v>0.22</v>
      </c>
      <c r="I44" s="468"/>
    </row>
    <row r="45" spans="1:9" ht="20.100000000000001" customHeight="1" thickBot="1" x14ac:dyDescent="0.3">
      <c r="A45" s="1367"/>
      <c r="B45" s="376">
        <v>2009</v>
      </c>
      <c r="C45" s="474">
        <v>0.2</v>
      </c>
      <c r="D45" s="40">
        <v>0.10299999999999999</v>
      </c>
      <c r="E45" s="42">
        <v>0.188</v>
      </c>
      <c r="F45" s="92">
        <v>0.20399999999999999</v>
      </c>
      <c r="G45" s="46">
        <v>0.13500000000000001</v>
      </c>
      <c r="H45" s="479">
        <v>0.22</v>
      </c>
    </row>
    <row r="46" spans="1:9" ht="20.100000000000001" customHeight="1" thickBot="1" x14ac:dyDescent="0.3">
      <c r="A46" s="1367"/>
      <c r="B46" s="376">
        <v>2010</v>
      </c>
      <c r="C46" s="31">
        <v>0.2</v>
      </c>
      <c r="D46" s="40">
        <v>0.11600000000000001</v>
      </c>
      <c r="E46" s="42">
        <v>0.192</v>
      </c>
      <c r="F46" s="477">
        <v>0.20399999999999999</v>
      </c>
      <c r="G46" s="46">
        <v>0.13800000000000001</v>
      </c>
      <c r="H46" s="48">
        <v>0.22</v>
      </c>
    </row>
    <row r="47" spans="1:9" ht="20.100000000000001" customHeight="1" thickBot="1" x14ac:dyDescent="0.3">
      <c r="A47" s="1367"/>
      <c r="B47" s="376">
        <v>2011</v>
      </c>
      <c r="C47" s="31">
        <v>0.2</v>
      </c>
      <c r="D47" s="97">
        <v>0.13</v>
      </c>
      <c r="E47" s="476">
        <v>0.19600000000000001</v>
      </c>
      <c r="F47" s="92">
        <v>0.20799999999999999</v>
      </c>
      <c r="G47" s="46">
        <v>0.13800000000000001</v>
      </c>
      <c r="H47" s="48">
        <v>0.22</v>
      </c>
    </row>
    <row r="48" spans="1:9" ht="20.100000000000001" customHeight="1" thickBot="1" x14ac:dyDescent="0.3">
      <c r="A48" s="1367"/>
      <c r="B48" s="376">
        <v>2012</v>
      </c>
      <c r="C48" s="31">
        <v>0.2</v>
      </c>
      <c r="D48" s="97">
        <v>0.14599999999999999</v>
      </c>
      <c r="E48" s="476">
        <v>0.2</v>
      </c>
      <c r="F48" s="92">
        <v>0.21199999999999999</v>
      </c>
      <c r="G48" s="46">
        <v>0.13800000000000001</v>
      </c>
      <c r="H48" s="48">
        <v>0.22</v>
      </c>
    </row>
    <row r="49" spans="1:9" ht="20.100000000000001" customHeight="1" thickBot="1" x14ac:dyDescent="0.3">
      <c r="A49" s="1367"/>
      <c r="B49" s="376">
        <v>2013</v>
      </c>
      <c r="C49" s="31">
        <v>0.16</v>
      </c>
      <c r="D49" s="97">
        <v>0.14899999999999999</v>
      </c>
      <c r="E49" s="284">
        <v>0.19800000000000001</v>
      </c>
      <c r="F49" s="92">
        <v>0.223</v>
      </c>
      <c r="G49" s="393">
        <f>0.138+0.0164</f>
        <v>0.15440000000000001</v>
      </c>
      <c r="H49" s="48">
        <v>0.22</v>
      </c>
    </row>
    <row r="50" spans="1:9" ht="20.100000000000001" customHeight="1" thickBot="1" x14ac:dyDescent="0.3">
      <c r="A50" s="1367"/>
      <c r="B50" s="376">
        <v>2014</v>
      </c>
      <c r="C50" s="31">
        <v>0.16</v>
      </c>
      <c r="D50" s="97">
        <v>0.152</v>
      </c>
      <c r="E50" s="284">
        <v>0.19600000000000001</v>
      </c>
      <c r="F50" s="92">
        <v>0.23400000000000001</v>
      </c>
      <c r="G50" s="46">
        <f>+G49+0.0164</f>
        <v>0.17080000000000001</v>
      </c>
      <c r="H50" s="48">
        <v>0.22</v>
      </c>
    </row>
    <row r="51" spans="1:9" ht="20.100000000000001" customHeight="1" thickBot="1" x14ac:dyDescent="0.3">
      <c r="A51" s="1367"/>
      <c r="B51" s="376">
        <v>2015</v>
      </c>
      <c r="C51" s="31">
        <v>0.16</v>
      </c>
      <c r="D51" s="97">
        <v>0.155</v>
      </c>
      <c r="E51" s="284">
        <v>0.19400000000000001</v>
      </c>
      <c r="F51" s="92">
        <v>0.246</v>
      </c>
      <c r="G51" s="46">
        <f>+G50+0.0164</f>
        <v>0.18720000000000001</v>
      </c>
      <c r="H51" s="48">
        <v>0.22</v>
      </c>
    </row>
    <row r="52" spans="1:9" ht="20.100000000000001" customHeight="1" thickBot="1" x14ac:dyDescent="0.3">
      <c r="A52" s="1367"/>
      <c r="B52" s="376">
        <v>2016</v>
      </c>
      <c r="C52" s="31">
        <v>0.17</v>
      </c>
      <c r="D52" s="97">
        <v>0.158</v>
      </c>
      <c r="E52" s="284">
        <v>0.19209999999999999</v>
      </c>
      <c r="F52" s="92">
        <v>0.25800000000000001</v>
      </c>
      <c r="G52" s="46">
        <f>+G51+0.0164</f>
        <v>0.2036</v>
      </c>
      <c r="H52" s="48">
        <v>0.22</v>
      </c>
    </row>
    <row r="53" spans="1:9" ht="20.100000000000001" customHeight="1" thickBot="1" x14ac:dyDescent="0.3">
      <c r="A53" s="1367"/>
      <c r="B53" s="376">
        <v>2017</v>
      </c>
      <c r="C53" s="31">
        <v>0.17</v>
      </c>
      <c r="D53" s="97">
        <v>0.16400000000000001</v>
      </c>
      <c r="E53" s="284">
        <v>0.19020000000000001</v>
      </c>
      <c r="F53" s="92">
        <v>0.27100000000000002</v>
      </c>
      <c r="G53" s="46">
        <f>+G52+0.0164</f>
        <v>0.22</v>
      </c>
      <c r="H53" s="48">
        <v>0.22</v>
      </c>
    </row>
    <row r="54" spans="1:9" ht="20.100000000000001" customHeight="1" thickBot="1" x14ac:dyDescent="0.3">
      <c r="A54" s="1367"/>
      <c r="B54" s="376">
        <v>2018</v>
      </c>
      <c r="C54" s="31">
        <v>0.18</v>
      </c>
      <c r="D54" s="475">
        <v>0.16400000000000001</v>
      </c>
      <c r="E54" s="42">
        <v>0.1883</v>
      </c>
      <c r="F54" s="92">
        <v>0.28499999999999998</v>
      </c>
      <c r="G54" s="478">
        <v>0.22</v>
      </c>
      <c r="H54" s="48">
        <v>0.22</v>
      </c>
    </row>
    <row r="55" spans="1:9" ht="20.100000000000001" customHeight="1" thickBot="1" x14ac:dyDescent="0.3">
      <c r="A55" s="1367"/>
      <c r="B55" s="2">
        <v>2019</v>
      </c>
      <c r="C55" s="31">
        <v>0.18</v>
      </c>
      <c r="D55" s="475">
        <v>0.16400000000000001</v>
      </c>
      <c r="E55" s="42">
        <v>0.1883</v>
      </c>
      <c r="F55" s="92">
        <v>0.25700000000000001</v>
      </c>
      <c r="G55" s="478">
        <v>0.22</v>
      </c>
      <c r="H55" s="48">
        <v>0.22</v>
      </c>
    </row>
    <row r="56" spans="1:9" ht="20.100000000000001" customHeight="1" thickBot="1" x14ac:dyDescent="0.3">
      <c r="A56" s="1367"/>
      <c r="B56" s="2">
        <v>2020</v>
      </c>
      <c r="C56" s="31">
        <v>0.18</v>
      </c>
      <c r="D56" s="475">
        <v>0.16400000000000001</v>
      </c>
      <c r="E56" s="42">
        <v>0.1883</v>
      </c>
      <c r="F56" s="92">
        <v>0.25700000000000001</v>
      </c>
      <c r="G56" s="478">
        <v>0.22</v>
      </c>
      <c r="H56" s="48">
        <v>0.22</v>
      </c>
    </row>
    <row r="57" spans="1:9" ht="20.100000000000001" customHeight="1" thickBot="1" x14ac:dyDescent="0.3">
      <c r="A57" s="1367"/>
      <c r="B57" s="2">
        <v>2021</v>
      </c>
      <c r="C57" s="31">
        <v>0.18</v>
      </c>
      <c r="D57" s="475">
        <v>0.16400000000000001</v>
      </c>
      <c r="E57" s="42">
        <v>0.1883</v>
      </c>
      <c r="F57" s="92">
        <v>0.25700000000000001</v>
      </c>
      <c r="G57" s="478">
        <v>0.22</v>
      </c>
      <c r="H57" s="48">
        <v>0.22</v>
      </c>
    </row>
    <row r="58" spans="1:9" ht="20.100000000000001" customHeight="1" thickBot="1" x14ac:dyDescent="0.3">
      <c r="A58" s="1367"/>
      <c r="B58" s="2">
        <v>2022</v>
      </c>
      <c r="C58" s="31">
        <v>0.18</v>
      </c>
      <c r="D58" s="475">
        <v>0.16400000000000001</v>
      </c>
      <c r="E58" s="42">
        <v>0.1883</v>
      </c>
      <c r="F58" s="92">
        <v>0.25700000000000001</v>
      </c>
      <c r="G58" s="478">
        <v>0.22</v>
      </c>
      <c r="H58" s="48">
        <v>0.22</v>
      </c>
    </row>
    <row r="59" spans="1:9" ht="20.100000000000001" customHeight="1" thickBot="1" x14ac:dyDescent="0.3">
      <c r="A59" s="1367"/>
      <c r="B59" s="2">
        <v>2023</v>
      </c>
      <c r="C59" s="31">
        <v>0.18</v>
      </c>
      <c r="D59" s="475">
        <v>0.16400000000000001</v>
      </c>
      <c r="E59" s="42">
        <v>0.1883</v>
      </c>
      <c r="F59" s="92">
        <v>0.25700000000000001</v>
      </c>
      <c r="G59" s="478">
        <v>0.22</v>
      </c>
      <c r="H59" s="48">
        <v>0.22</v>
      </c>
    </row>
    <row r="60" spans="1:9" ht="20.100000000000001" customHeight="1" x14ac:dyDescent="0.25">
      <c r="A60" s="1367"/>
      <c r="B60" s="2">
        <v>2024</v>
      </c>
      <c r="C60" s="31">
        <v>0.18</v>
      </c>
      <c r="D60" s="475">
        <v>0.16400000000000001</v>
      </c>
      <c r="E60" s="42">
        <v>0.1883</v>
      </c>
      <c r="F60" s="92">
        <v>0.25700000000000001</v>
      </c>
      <c r="G60" s="478">
        <v>0.22</v>
      </c>
      <c r="H60" s="48">
        <v>0.22</v>
      </c>
    </row>
    <row r="61" spans="1:9" ht="20.100000000000001" customHeight="1" x14ac:dyDescent="0.25">
      <c r="A61" s="1367"/>
      <c r="B61" s="376"/>
      <c r="C61" s="880">
        <f>+(C60-C44)/C44</f>
        <v>-0.10000000000000009</v>
      </c>
      <c r="D61" s="880">
        <f t="shared" ref="D61:H61" si="2">+(D60-D44)/D44</f>
        <v>0.64</v>
      </c>
      <c r="E61" s="880">
        <f t="shared" si="2"/>
        <v>2.3369565217391294E-2</v>
      </c>
      <c r="F61" s="880">
        <f t="shared" si="2"/>
        <v>0.28499999999999998</v>
      </c>
      <c r="G61" s="880">
        <f t="shared" si="2"/>
        <v>0.62962962962962954</v>
      </c>
      <c r="H61" s="880">
        <f t="shared" si="2"/>
        <v>0</v>
      </c>
      <c r="I61" s="124" t="s">
        <v>226</v>
      </c>
    </row>
    <row r="62" spans="1:9" ht="20.100000000000001" customHeight="1" x14ac:dyDescent="0.25"/>
    <row r="63" spans="1:9" ht="20.100000000000001" customHeight="1" thickBot="1" x14ac:dyDescent="0.3">
      <c r="A63" s="1367" t="s">
        <v>13</v>
      </c>
      <c r="B63" s="376"/>
      <c r="C63" s="2" t="s">
        <v>23</v>
      </c>
      <c r="D63" s="2" t="s">
        <v>24</v>
      </c>
      <c r="E63" s="2" t="s">
        <v>27</v>
      </c>
      <c r="F63" s="2" t="s">
        <v>26</v>
      </c>
      <c r="G63" s="2" t="s">
        <v>28</v>
      </c>
      <c r="H63" s="2" t="s">
        <v>29</v>
      </c>
    </row>
    <row r="64" spans="1:9" ht="20.100000000000001" customHeight="1" thickBot="1" x14ac:dyDescent="0.3">
      <c r="A64" s="1367"/>
      <c r="B64" s="376">
        <v>2008</v>
      </c>
      <c r="C64" s="31">
        <v>0.436</v>
      </c>
      <c r="D64" s="40">
        <v>0.2</v>
      </c>
      <c r="E64" s="42">
        <v>0.32300000000000001</v>
      </c>
      <c r="F64" s="44">
        <v>0.35</v>
      </c>
      <c r="G64" s="46">
        <v>0.23400000000000001</v>
      </c>
      <c r="H64" s="48">
        <v>0.35</v>
      </c>
    </row>
    <row r="65" spans="1:8" ht="20.100000000000001" customHeight="1" thickBot="1" x14ac:dyDescent="0.3">
      <c r="A65" s="1367"/>
      <c r="B65" s="376">
        <v>2009</v>
      </c>
      <c r="C65" s="31">
        <v>0.50600000000000001</v>
      </c>
      <c r="D65" s="40">
        <v>0.20599999999999999</v>
      </c>
      <c r="E65" s="42">
        <v>0.32900000000000001</v>
      </c>
      <c r="F65" s="92">
        <v>0.35699999999999998</v>
      </c>
      <c r="G65" s="46">
        <v>0.23400000000000001</v>
      </c>
      <c r="H65" s="48">
        <v>0.35</v>
      </c>
    </row>
    <row r="66" spans="1:8" ht="20.100000000000001" customHeight="1" thickBot="1" x14ac:dyDescent="0.3">
      <c r="A66" s="1367"/>
      <c r="B66" s="376">
        <v>2010</v>
      </c>
      <c r="C66" s="31">
        <v>0.50600000000000001</v>
      </c>
      <c r="D66" s="40">
        <v>0.23100000000000001</v>
      </c>
      <c r="E66" s="42">
        <v>0.33600000000000002</v>
      </c>
      <c r="F66" s="92">
        <v>0.35699999999999998</v>
      </c>
      <c r="G66" s="46">
        <v>0.23899999999999999</v>
      </c>
      <c r="H66" s="48">
        <v>0.35</v>
      </c>
    </row>
    <row r="67" spans="1:8" ht="20.100000000000001" customHeight="1" thickBot="1" x14ac:dyDescent="0.3">
      <c r="A67" s="1367"/>
      <c r="B67" s="376">
        <v>2011</v>
      </c>
      <c r="C67" s="31">
        <v>0.58699999999999997</v>
      </c>
      <c r="D67" s="97">
        <v>0.26</v>
      </c>
      <c r="E67" s="42">
        <v>0.34300000000000003</v>
      </c>
      <c r="F67" s="92">
        <v>0.36399999999999999</v>
      </c>
      <c r="G67" s="46">
        <v>0.23899999999999999</v>
      </c>
      <c r="H67" s="48">
        <v>0.35</v>
      </c>
    </row>
    <row r="68" spans="1:8" ht="20.100000000000001" customHeight="1" thickBot="1" x14ac:dyDescent="0.3">
      <c r="A68" s="1367"/>
      <c r="B68" s="376">
        <v>2012</v>
      </c>
      <c r="C68" s="31">
        <v>0.58699999999999997</v>
      </c>
      <c r="D68" s="97">
        <v>0.29099999999999998</v>
      </c>
      <c r="E68" s="42">
        <v>0.35</v>
      </c>
      <c r="F68" s="92">
        <v>0.371</v>
      </c>
      <c r="G68" s="46">
        <v>0.23899999999999999</v>
      </c>
      <c r="H68" s="48">
        <v>0.35</v>
      </c>
    </row>
    <row r="69" spans="1:8" ht="20.100000000000001" customHeight="1" thickBot="1" x14ac:dyDescent="0.3">
      <c r="A69" s="1367"/>
      <c r="B69" s="376">
        <v>2013</v>
      </c>
      <c r="C69" s="31">
        <v>0.6</v>
      </c>
      <c r="D69" s="97">
        <v>0.3</v>
      </c>
      <c r="E69" s="42">
        <v>0.34649999999999997</v>
      </c>
      <c r="F69" s="92">
        <v>0.39</v>
      </c>
      <c r="G69" s="393">
        <v>0.26779999999999998</v>
      </c>
      <c r="H69" s="48">
        <v>0.35</v>
      </c>
    </row>
    <row r="70" spans="1:8" ht="20.100000000000001" customHeight="1" thickBot="1" x14ac:dyDescent="0.3">
      <c r="A70" s="1367"/>
      <c r="B70" s="376">
        <v>2014</v>
      </c>
      <c r="C70" s="31">
        <v>0.6</v>
      </c>
      <c r="D70" s="97">
        <v>0.30499999999999999</v>
      </c>
      <c r="E70" s="284">
        <v>0.34200000000000003</v>
      </c>
      <c r="F70" s="92">
        <v>0.41</v>
      </c>
      <c r="G70" s="46">
        <v>0.29659999999999997</v>
      </c>
      <c r="H70" s="48">
        <v>0.35</v>
      </c>
    </row>
    <row r="71" spans="1:8" ht="20.100000000000001" customHeight="1" thickBot="1" x14ac:dyDescent="0.3">
      <c r="A71" s="1367"/>
      <c r="B71" s="376">
        <v>2015</v>
      </c>
      <c r="C71" s="31">
        <v>0.6</v>
      </c>
      <c r="D71" s="97">
        <v>0.31</v>
      </c>
      <c r="E71" s="284">
        <v>0.33960000000000001</v>
      </c>
      <c r="F71" s="92">
        <v>0.43099999999999999</v>
      </c>
      <c r="G71" s="46">
        <v>0.32540000000000002</v>
      </c>
      <c r="H71" s="48">
        <v>0.35</v>
      </c>
    </row>
    <row r="72" spans="1:8" ht="20.100000000000001" customHeight="1" thickBot="1" x14ac:dyDescent="0.3">
      <c r="A72" s="1367"/>
      <c r="B72" s="376">
        <v>2016</v>
      </c>
      <c r="C72" s="31">
        <v>0.6</v>
      </c>
      <c r="D72" s="97">
        <v>0.315</v>
      </c>
      <c r="E72" s="284">
        <v>0.3362</v>
      </c>
      <c r="F72" s="92">
        <v>0.45300000000000001</v>
      </c>
      <c r="G72" s="46">
        <v>0.35420000000000001</v>
      </c>
      <c r="H72" s="48">
        <v>0.35</v>
      </c>
    </row>
    <row r="73" spans="1:8" ht="20.100000000000001" customHeight="1" thickBot="1" x14ac:dyDescent="0.3">
      <c r="A73" s="1367"/>
      <c r="B73" s="376">
        <v>2017</v>
      </c>
      <c r="C73" s="31">
        <v>0.6</v>
      </c>
      <c r="D73" s="97">
        <v>0.32</v>
      </c>
      <c r="E73" s="284">
        <v>0.33279999999999998</v>
      </c>
      <c r="F73" s="92">
        <v>0.47599999999999998</v>
      </c>
      <c r="G73" s="46">
        <v>0.38300000000000001</v>
      </c>
      <c r="H73" s="48">
        <v>0.35</v>
      </c>
    </row>
    <row r="74" spans="1:8" ht="20.100000000000001" customHeight="1" thickBot="1" x14ac:dyDescent="0.3">
      <c r="A74" s="1367"/>
      <c r="B74" s="376">
        <v>2018</v>
      </c>
      <c r="C74" s="31">
        <v>0.6</v>
      </c>
      <c r="D74" s="97">
        <v>0.33</v>
      </c>
      <c r="E74" s="42">
        <v>0.32950000000000002</v>
      </c>
      <c r="F74" s="92">
        <v>0.5</v>
      </c>
      <c r="G74" s="46">
        <v>0.38299999999999995</v>
      </c>
      <c r="H74" s="48">
        <v>0.35</v>
      </c>
    </row>
    <row r="75" spans="1:8" ht="20.100000000000001" customHeight="1" thickBot="1" x14ac:dyDescent="0.3">
      <c r="A75" s="1367"/>
      <c r="B75" s="2">
        <v>2019</v>
      </c>
      <c r="C75" s="31">
        <v>0.6</v>
      </c>
      <c r="D75" s="97">
        <v>0.33</v>
      </c>
      <c r="E75" s="42">
        <v>0.32950000000000002</v>
      </c>
      <c r="F75" s="92">
        <v>0.45</v>
      </c>
      <c r="G75" s="46">
        <v>0.38299999999999995</v>
      </c>
      <c r="H75" s="48">
        <v>0.35</v>
      </c>
    </row>
    <row r="76" spans="1:8" ht="20.100000000000001" customHeight="1" thickBot="1" x14ac:dyDescent="0.3">
      <c r="A76" s="1367"/>
      <c r="B76" s="2">
        <v>2020</v>
      </c>
      <c r="C76" s="31">
        <v>0.6</v>
      </c>
      <c r="D76" s="97">
        <v>0.33</v>
      </c>
      <c r="E76" s="42">
        <v>0.32950000000000002</v>
      </c>
      <c r="F76" s="92">
        <v>0.45</v>
      </c>
      <c r="G76" s="46">
        <v>0.38299999999999995</v>
      </c>
      <c r="H76" s="48">
        <v>0.35</v>
      </c>
    </row>
    <row r="77" spans="1:8" ht="20.100000000000001" customHeight="1" thickBot="1" x14ac:dyDescent="0.3">
      <c r="A77" s="1367"/>
      <c r="B77" s="2">
        <v>2021</v>
      </c>
      <c r="C77" s="31">
        <v>0.6</v>
      </c>
      <c r="D77" s="97">
        <v>0.33</v>
      </c>
      <c r="E77" s="42">
        <v>0.32950000000000002</v>
      </c>
      <c r="F77" s="92">
        <v>0.45</v>
      </c>
      <c r="G77" s="46">
        <v>0.38299999999999995</v>
      </c>
      <c r="H77" s="48">
        <v>0.35</v>
      </c>
    </row>
    <row r="78" spans="1:8" ht="20.100000000000001" customHeight="1" thickBot="1" x14ac:dyDescent="0.3">
      <c r="A78" s="1367"/>
      <c r="B78" s="2">
        <v>2022</v>
      </c>
      <c r="C78" s="31">
        <v>0.6</v>
      </c>
      <c r="D78" s="97">
        <v>0.33</v>
      </c>
      <c r="E78" s="42">
        <v>0.32950000000000002</v>
      </c>
      <c r="F78" s="92">
        <v>0.45</v>
      </c>
      <c r="G78" s="46">
        <v>0.38299999999999995</v>
      </c>
      <c r="H78" s="48">
        <v>0.35</v>
      </c>
    </row>
    <row r="79" spans="1:8" ht="20.100000000000001" customHeight="1" thickBot="1" x14ac:dyDescent="0.3">
      <c r="A79" s="1367"/>
      <c r="B79" s="2">
        <v>2023</v>
      </c>
      <c r="C79" s="31">
        <v>0.6</v>
      </c>
      <c r="D79" s="97">
        <v>0.33</v>
      </c>
      <c r="E79" s="42">
        <v>0.32950000000000002</v>
      </c>
      <c r="F79" s="92">
        <v>0.45</v>
      </c>
      <c r="G79" s="46">
        <v>0.38299999999999995</v>
      </c>
      <c r="H79" s="48">
        <v>0.35</v>
      </c>
    </row>
    <row r="80" spans="1:8" ht="20.100000000000001" customHeight="1" x14ac:dyDescent="0.25">
      <c r="A80" s="1367"/>
      <c r="B80" s="2">
        <v>2024</v>
      </c>
      <c r="C80" s="31">
        <v>0.6</v>
      </c>
      <c r="D80" s="97">
        <v>0.33</v>
      </c>
      <c r="E80" s="42">
        <v>0.32950000000000002</v>
      </c>
      <c r="F80" s="92">
        <v>0.45</v>
      </c>
      <c r="G80" s="46">
        <v>0.38299999999999995</v>
      </c>
      <c r="H80" s="48">
        <v>0.35</v>
      </c>
    </row>
    <row r="81" spans="1:9" ht="20.100000000000001" customHeight="1" x14ac:dyDescent="0.25">
      <c r="A81" s="550"/>
      <c r="B81" s="376"/>
      <c r="C81" s="755">
        <f>+(C80-C64)/C64</f>
        <v>0.37614678899082565</v>
      </c>
      <c r="D81" s="755">
        <f t="shared" ref="D81:H81" si="3">+(D80-D64)/D64</f>
        <v>0.65</v>
      </c>
      <c r="E81" s="755">
        <f t="shared" si="3"/>
        <v>2.0123839009287943E-2</v>
      </c>
      <c r="F81" s="755">
        <f t="shared" si="3"/>
        <v>0.28571428571428581</v>
      </c>
      <c r="G81" s="755">
        <f t="shared" si="3"/>
        <v>0.63675213675213649</v>
      </c>
      <c r="H81" s="755">
        <f t="shared" si="3"/>
        <v>0</v>
      </c>
      <c r="I81" s="124" t="s">
        <v>226</v>
      </c>
    </row>
    <row r="82" spans="1:9" ht="20.100000000000001" customHeight="1" x14ac:dyDescent="0.25">
      <c r="A82" s="495"/>
    </row>
    <row r="83" spans="1:9" ht="20.100000000000001" customHeight="1" thickBot="1" x14ac:dyDescent="0.3">
      <c r="A83" s="1367" t="s">
        <v>194</v>
      </c>
      <c r="B83" s="376"/>
      <c r="C83" s="2" t="s">
        <v>23</v>
      </c>
      <c r="D83" s="2" t="s">
        <v>24</v>
      </c>
      <c r="E83" s="2" t="s">
        <v>27</v>
      </c>
      <c r="F83" s="2" t="s">
        <v>26</v>
      </c>
      <c r="G83" s="2" t="s">
        <v>28</v>
      </c>
      <c r="H83" s="2" t="s">
        <v>29</v>
      </c>
    </row>
    <row r="84" spans="1:9" ht="20.100000000000001" customHeight="1" thickBot="1" x14ac:dyDescent="0.3">
      <c r="A84" s="1367"/>
      <c r="B84" s="376">
        <v>2008</v>
      </c>
      <c r="C84" s="31">
        <v>6.9000000000000006E-2</v>
      </c>
      <c r="D84" s="40"/>
      <c r="E84" s="42"/>
      <c r="F84" s="511"/>
      <c r="G84" s="478">
        <v>0.10100000000000001</v>
      </c>
      <c r="H84" s="770">
        <v>0.2</v>
      </c>
    </row>
    <row r="85" spans="1:9" ht="20.100000000000001" customHeight="1" thickBot="1" x14ac:dyDescent="0.3">
      <c r="A85" s="1367"/>
      <c r="B85" s="376">
        <v>2009</v>
      </c>
      <c r="C85" s="33">
        <v>8.2799999999999999E-2</v>
      </c>
      <c r="D85" s="40"/>
      <c r="E85" s="42"/>
      <c r="F85" s="511"/>
      <c r="G85" s="46">
        <v>0.10100000000000001</v>
      </c>
      <c r="H85" s="48">
        <v>0.2</v>
      </c>
    </row>
    <row r="86" spans="1:9" ht="20.100000000000001" customHeight="1" thickBot="1" x14ac:dyDescent="0.3">
      <c r="A86" s="1367"/>
      <c r="B86" s="376">
        <v>2010</v>
      </c>
      <c r="C86" s="33">
        <v>9.4E-2</v>
      </c>
      <c r="D86" s="40"/>
      <c r="E86" s="42"/>
      <c r="F86" s="511"/>
      <c r="G86" s="46">
        <v>0.10299999999999999</v>
      </c>
      <c r="H86" s="48">
        <v>0.2</v>
      </c>
    </row>
    <row r="87" spans="1:9" ht="20.100000000000001" customHeight="1" thickBot="1" x14ac:dyDescent="0.3">
      <c r="A87" s="1367"/>
      <c r="B87" s="376">
        <v>2011</v>
      </c>
      <c r="C87" s="33">
        <v>0.11899999999999999</v>
      </c>
      <c r="D87" s="97"/>
      <c r="E87" s="42"/>
      <c r="F87" s="511"/>
      <c r="G87" s="46">
        <v>0.10299999999999999</v>
      </c>
      <c r="H87" s="48">
        <v>0.2</v>
      </c>
    </row>
    <row r="88" spans="1:9" ht="20.100000000000001" customHeight="1" thickBot="1" x14ac:dyDescent="0.3">
      <c r="A88" s="1367"/>
      <c r="B88" s="376">
        <v>2012</v>
      </c>
      <c r="C88" s="33">
        <v>0.14299999999999999</v>
      </c>
      <c r="D88" s="97"/>
      <c r="E88" s="42"/>
      <c r="F88" s="511"/>
      <c r="G88" s="46">
        <v>0.10299999999999999</v>
      </c>
      <c r="H88" s="48">
        <v>0.2</v>
      </c>
    </row>
    <row r="89" spans="1:9" ht="20.100000000000001" customHeight="1" thickBot="1" x14ac:dyDescent="0.3">
      <c r="A89" s="1367"/>
      <c r="B89" s="376">
        <v>2013</v>
      </c>
      <c r="C89" s="33">
        <v>0.15</v>
      </c>
      <c r="D89" s="97"/>
      <c r="E89" s="42"/>
      <c r="F89" s="511"/>
      <c r="G89" s="393">
        <v>0.1152</v>
      </c>
      <c r="H89" s="48">
        <v>0.2</v>
      </c>
    </row>
    <row r="90" spans="1:9" ht="20.100000000000001" customHeight="1" thickBot="1" x14ac:dyDescent="0.3">
      <c r="A90" s="1367"/>
      <c r="B90" s="376">
        <v>2014</v>
      </c>
      <c r="C90" s="33">
        <v>0.16</v>
      </c>
      <c r="D90" s="97"/>
      <c r="E90" s="284"/>
      <c r="F90" s="511"/>
      <c r="G90" s="46">
        <v>0.12740000000000001</v>
      </c>
      <c r="H90" s="48">
        <v>0.2</v>
      </c>
    </row>
    <row r="91" spans="1:9" ht="20.100000000000001" customHeight="1" thickBot="1" x14ac:dyDescent="0.3">
      <c r="A91" s="1367"/>
      <c r="B91" s="376">
        <v>2015</v>
      </c>
      <c r="C91" s="33">
        <v>0.15</v>
      </c>
      <c r="D91" s="97"/>
      <c r="E91" s="284"/>
      <c r="F91" s="511"/>
      <c r="G91" s="46">
        <v>0.1396</v>
      </c>
      <c r="H91" s="48">
        <v>0.2</v>
      </c>
    </row>
    <row r="92" spans="1:9" ht="20.100000000000001" customHeight="1" thickBot="1" x14ac:dyDescent="0.3">
      <c r="A92" s="1367"/>
      <c r="B92" s="376">
        <v>2016</v>
      </c>
      <c r="C92" s="33">
        <v>0.17</v>
      </c>
      <c r="D92" s="97"/>
      <c r="E92" s="284"/>
      <c r="F92" s="511"/>
      <c r="G92" s="46">
        <v>0.15179999999999999</v>
      </c>
      <c r="H92" s="48">
        <v>0.2</v>
      </c>
    </row>
    <row r="93" spans="1:9" ht="20.100000000000001" customHeight="1" thickBot="1" x14ac:dyDescent="0.3">
      <c r="A93" s="1367"/>
      <c r="B93" s="376">
        <v>2017</v>
      </c>
      <c r="C93" s="33">
        <v>0.17</v>
      </c>
      <c r="D93" s="97"/>
      <c r="E93" s="878"/>
      <c r="F93" s="511"/>
      <c r="G93" s="46">
        <v>0.16399999999999995</v>
      </c>
      <c r="H93" s="48">
        <v>0.2</v>
      </c>
    </row>
    <row r="94" spans="1:9" ht="20.100000000000001" customHeight="1" thickBot="1" x14ac:dyDescent="0.3">
      <c r="A94" s="1367"/>
      <c r="B94" s="376">
        <v>2018</v>
      </c>
      <c r="C94" s="33">
        <v>0.18</v>
      </c>
      <c r="D94" s="97"/>
      <c r="E94" s="284"/>
      <c r="F94" s="511"/>
      <c r="G94" s="46">
        <v>0.16399999999999995</v>
      </c>
      <c r="H94" s="48">
        <v>0.2</v>
      </c>
    </row>
    <row r="95" spans="1:9" ht="20.100000000000001" customHeight="1" thickBot="1" x14ac:dyDescent="0.3">
      <c r="A95" s="550"/>
      <c r="B95" s="2">
        <v>2019</v>
      </c>
      <c r="C95" s="33">
        <v>0.18</v>
      </c>
      <c r="D95" s="97"/>
      <c r="E95" s="284">
        <v>0.04</v>
      </c>
      <c r="F95" s="92">
        <v>0.1</v>
      </c>
      <c r="G95" s="46">
        <v>0.16399999999999995</v>
      </c>
      <c r="H95" s="48">
        <v>0.2</v>
      </c>
    </row>
    <row r="96" spans="1:9" ht="20.100000000000001" customHeight="1" thickBot="1" x14ac:dyDescent="0.3">
      <c r="A96" s="550"/>
      <c r="B96" s="2">
        <v>2020</v>
      </c>
      <c r="C96" s="33">
        <v>0.18</v>
      </c>
      <c r="D96" s="97"/>
      <c r="E96" s="284">
        <v>0.04</v>
      </c>
      <c r="F96" s="92">
        <v>0.1</v>
      </c>
      <c r="G96" s="46">
        <v>0.16399999999999995</v>
      </c>
      <c r="H96" s="48">
        <v>0.2</v>
      </c>
    </row>
    <row r="97" spans="1:9" ht="20.100000000000001" customHeight="1" thickBot="1" x14ac:dyDescent="0.3">
      <c r="A97" s="550"/>
      <c r="B97" s="2">
        <v>2021</v>
      </c>
      <c r="C97" s="33">
        <v>0.18</v>
      </c>
      <c r="D97" s="97"/>
      <c r="E97" s="284">
        <v>0.08</v>
      </c>
      <c r="F97" s="92">
        <v>0.1</v>
      </c>
      <c r="G97" s="46">
        <v>0.16399999999999995</v>
      </c>
      <c r="H97" s="48">
        <v>0.2</v>
      </c>
    </row>
    <row r="98" spans="1:9" ht="20.100000000000001" customHeight="1" thickBot="1" x14ac:dyDescent="0.3">
      <c r="A98" s="550"/>
      <c r="B98" s="2">
        <v>2022</v>
      </c>
      <c r="C98" s="33">
        <v>0.18</v>
      </c>
      <c r="D98" s="97"/>
      <c r="E98" s="284">
        <v>0.08</v>
      </c>
      <c r="F98" s="92">
        <v>0.1</v>
      </c>
      <c r="G98" s="46">
        <v>0.16399999999999995</v>
      </c>
      <c r="H98" s="48">
        <v>0.2</v>
      </c>
    </row>
    <row r="99" spans="1:9" ht="20.100000000000001" customHeight="1" thickBot="1" x14ac:dyDescent="0.3">
      <c r="A99" s="550"/>
      <c r="B99" s="2">
        <v>2023</v>
      </c>
      <c r="C99" s="33">
        <v>0.18</v>
      </c>
      <c r="D99" s="97"/>
      <c r="E99" s="284">
        <v>9.2999999999999999E-2</v>
      </c>
      <c r="F99" s="92">
        <v>0.1</v>
      </c>
      <c r="G99" s="46">
        <v>0.16399999999999995</v>
      </c>
      <c r="H99" s="48">
        <v>0.2</v>
      </c>
    </row>
    <row r="100" spans="1:9" ht="20.100000000000001" customHeight="1" x14ac:dyDescent="0.25">
      <c r="A100" s="550"/>
      <c r="B100" s="2">
        <v>2024</v>
      </c>
      <c r="C100" s="33">
        <v>0.18</v>
      </c>
      <c r="D100" s="97"/>
      <c r="E100" s="284">
        <v>0.105</v>
      </c>
      <c r="F100" s="92">
        <v>0.1</v>
      </c>
      <c r="G100" s="46">
        <v>0.16399999999999995</v>
      </c>
      <c r="H100" s="48">
        <v>0.2</v>
      </c>
    </row>
    <row r="101" spans="1:9" ht="34.5" customHeight="1" x14ac:dyDescent="0.25">
      <c r="A101" s="550"/>
      <c r="B101" s="376"/>
      <c r="C101" s="880">
        <f>+(C100-C84)/C84</f>
        <v>1.6086956521739126</v>
      </c>
      <c r="D101" s="880"/>
      <c r="E101" s="880" t="s">
        <v>173</v>
      </c>
      <c r="F101" s="880" t="s">
        <v>173</v>
      </c>
      <c r="G101" s="880">
        <f t="shared" ref="G101:H101" si="4">+(G100-G84)/G84</f>
        <v>0.62376237623762321</v>
      </c>
      <c r="H101" s="880">
        <f t="shared" si="4"/>
        <v>0</v>
      </c>
      <c r="I101" s="781" t="s">
        <v>226</v>
      </c>
    </row>
    <row r="102" spans="1:9" ht="20.100000000000001" customHeight="1" x14ac:dyDescent="0.25">
      <c r="A102" s="495"/>
    </row>
    <row r="103" spans="1:9" ht="20.100000000000001" customHeight="1" thickBot="1" x14ac:dyDescent="0.3">
      <c r="A103" s="1371" t="s">
        <v>195</v>
      </c>
      <c r="B103" s="376"/>
      <c r="C103" s="2" t="s">
        <v>23</v>
      </c>
      <c r="D103" s="2" t="s">
        <v>24</v>
      </c>
      <c r="E103" s="2" t="s">
        <v>27</v>
      </c>
      <c r="F103" s="2" t="s">
        <v>26</v>
      </c>
      <c r="G103" s="2" t="s">
        <v>28</v>
      </c>
      <c r="H103" s="2" t="s">
        <v>29</v>
      </c>
    </row>
    <row r="104" spans="1:9" ht="20.100000000000001" customHeight="1" thickBot="1" x14ac:dyDescent="0.3">
      <c r="A104" s="1371"/>
      <c r="B104" s="376">
        <v>2008</v>
      </c>
      <c r="C104" s="31"/>
      <c r="D104" s="40"/>
      <c r="E104" s="42">
        <v>0.1</v>
      </c>
      <c r="F104" s="44">
        <v>0.05</v>
      </c>
      <c r="G104" s="46"/>
      <c r="H104" s="770">
        <v>3.0000000000000001E-3</v>
      </c>
    </row>
    <row r="105" spans="1:9" ht="20.100000000000001" customHeight="1" thickBot="1" x14ac:dyDescent="0.3">
      <c r="A105" s="1371"/>
      <c r="B105" s="376">
        <v>2009</v>
      </c>
      <c r="C105" s="33"/>
      <c r="D105" s="40"/>
      <c r="E105" s="42">
        <v>0.1</v>
      </c>
      <c r="F105" s="92">
        <v>5.0999999999999997E-2</v>
      </c>
      <c r="G105" s="46"/>
      <c r="H105" s="48">
        <v>3.0000000000000001E-3</v>
      </c>
    </row>
    <row r="106" spans="1:9" ht="20.100000000000001" customHeight="1" thickBot="1" x14ac:dyDescent="0.3">
      <c r="A106" s="1371"/>
      <c r="B106" s="376">
        <v>2010</v>
      </c>
      <c r="C106" s="31"/>
      <c r="D106" s="40"/>
      <c r="E106" s="42">
        <v>0.1</v>
      </c>
      <c r="F106" s="92">
        <v>5.0999999999999997E-2</v>
      </c>
      <c r="G106" s="46"/>
      <c r="H106" s="48">
        <v>3.0000000000000001E-3</v>
      </c>
    </row>
    <row r="107" spans="1:9" ht="20.100000000000001" customHeight="1" thickBot="1" x14ac:dyDescent="0.3">
      <c r="A107" s="1371"/>
      <c r="B107" s="376">
        <v>2011</v>
      </c>
      <c r="C107" s="33"/>
      <c r="D107" s="97"/>
      <c r="E107" s="42">
        <v>0.1</v>
      </c>
      <c r="F107" s="92">
        <v>5.2999999999999999E-2</v>
      </c>
      <c r="G107" s="46"/>
      <c r="H107" s="48">
        <v>3.0000000000000001E-3</v>
      </c>
    </row>
    <row r="108" spans="1:9" ht="20.100000000000001" customHeight="1" thickBot="1" x14ac:dyDescent="0.3">
      <c r="A108" s="1371"/>
      <c r="B108" s="376">
        <v>2012</v>
      </c>
      <c r="C108" s="33"/>
      <c r="D108" s="97"/>
      <c r="E108" s="42">
        <v>0.1</v>
      </c>
      <c r="F108" s="92">
        <v>5.2999999999999999E-2</v>
      </c>
      <c r="G108" s="46"/>
      <c r="H108" s="48">
        <v>3.0000000000000001E-3</v>
      </c>
    </row>
    <row r="109" spans="1:9" ht="20.100000000000001" customHeight="1" thickBot="1" x14ac:dyDescent="0.3">
      <c r="A109" s="1371"/>
      <c r="B109" s="376">
        <v>2013</v>
      </c>
      <c r="C109" s="33"/>
      <c r="D109" s="97">
        <v>0.1</v>
      </c>
      <c r="E109" s="42">
        <v>0.1</v>
      </c>
      <c r="F109" s="92">
        <v>5.2999999999999999E-2</v>
      </c>
      <c r="G109" s="393"/>
      <c r="H109" s="48">
        <v>3.0000000000000001E-3</v>
      </c>
    </row>
    <row r="110" spans="1:9" ht="20.100000000000001" customHeight="1" thickBot="1" x14ac:dyDescent="0.3">
      <c r="A110" s="1371"/>
      <c r="B110" s="376">
        <v>2014</v>
      </c>
      <c r="C110" s="33"/>
      <c r="D110" s="97">
        <v>0.1</v>
      </c>
      <c r="E110" s="42">
        <v>0.1</v>
      </c>
      <c r="F110" s="92">
        <v>5.6000000000000001E-2</v>
      </c>
      <c r="G110" s="46"/>
      <c r="H110" s="48">
        <v>3.0000000000000001E-3</v>
      </c>
    </row>
    <row r="111" spans="1:9" ht="20.100000000000001" customHeight="1" thickBot="1" x14ac:dyDescent="0.3">
      <c r="A111" s="1371"/>
      <c r="B111" s="376">
        <v>2015</v>
      </c>
      <c r="C111" s="33"/>
      <c r="D111" s="97">
        <v>0.1</v>
      </c>
      <c r="E111" s="42">
        <v>0.1</v>
      </c>
      <c r="F111" s="92">
        <v>5.8999999999999997E-2</v>
      </c>
      <c r="G111" s="46"/>
      <c r="H111" s="48">
        <v>3.0000000000000001E-3</v>
      </c>
    </row>
    <row r="112" spans="1:9" ht="20.100000000000001" customHeight="1" thickBot="1" x14ac:dyDescent="0.3">
      <c r="A112" s="1371"/>
      <c r="B112" s="376">
        <v>2016</v>
      </c>
      <c r="C112" s="33"/>
      <c r="D112" s="97">
        <v>0.1</v>
      </c>
      <c r="E112" s="42">
        <v>0.1</v>
      </c>
      <c r="F112" s="92">
        <v>6.2E-2</v>
      </c>
      <c r="G112" s="46"/>
      <c r="H112" s="48">
        <v>0.09</v>
      </c>
    </row>
    <row r="113" spans="1:9" ht="20.100000000000001" customHeight="1" thickBot="1" x14ac:dyDescent="0.3">
      <c r="A113" s="1371"/>
      <c r="B113" s="376">
        <v>2017</v>
      </c>
      <c r="C113" s="33"/>
      <c r="D113" s="97">
        <v>0.1</v>
      </c>
      <c r="E113" s="42">
        <v>0.1</v>
      </c>
      <c r="F113" s="92">
        <v>6.5000000000000002E-2</v>
      </c>
      <c r="G113" s="46"/>
      <c r="H113" s="48">
        <v>0.09</v>
      </c>
    </row>
    <row r="114" spans="1:9" ht="20.100000000000001" customHeight="1" thickBot="1" x14ac:dyDescent="0.3">
      <c r="A114" s="1371"/>
      <c r="B114" s="376">
        <v>2018</v>
      </c>
      <c r="C114" s="33"/>
      <c r="D114" s="97">
        <v>0.1</v>
      </c>
      <c r="E114" s="42">
        <v>0.1</v>
      </c>
      <c r="F114" s="92">
        <v>6.8000000000000005E-2</v>
      </c>
      <c r="G114" s="46"/>
      <c r="H114" s="48">
        <v>0.09</v>
      </c>
    </row>
    <row r="115" spans="1:9" ht="20.100000000000001" customHeight="1" thickBot="1" x14ac:dyDescent="0.3">
      <c r="A115" s="549"/>
      <c r="B115" s="2">
        <v>2019</v>
      </c>
      <c r="C115" s="33"/>
      <c r="D115" s="97">
        <v>0.1</v>
      </c>
      <c r="E115" s="42">
        <v>0.1</v>
      </c>
      <c r="F115" s="92">
        <v>6.4000000000000001E-2</v>
      </c>
      <c r="G115" s="738"/>
      <c r="H115" s="48">
        <v>0.1</v>
      </c>
    </row>
    <row r="116" spans="1:9" ht="20.100000000000001" customHeight="1" thickBot="1" x14ac:dyDescent="0.3">
      <c r="A116" s="549"/>
      <c r="B116" s="2">
        <v>2020</v>
      </c>
      <c r="C116" s="33"/>
      <c r="D116" s="97">
        <v>0.1</v>
      </c>
      <c r="E116" s="42">
        <v>0.1</v>
      </c>
      <c r="F116" s="92">
        <v>6.4000000000000001E-2</v>
      </c>
      <c r="G116" s="738"/>
      <c r="H116" s="48">
        <v>0.1</v>
      </c>
    </row>
    <row r="117" spans="1:9" ht="20.100000000000001" customHeight="1" thickBot="1" x14ac:dyDescent="0.3">
      <c r="A117" s="549"/>
      <c r="B117" s="2">
        <v>2021</v>
      </c>
      <c r="C117" s="33"/>
      <c r="D117" s="97">
        <v>0.1</v>
      </c>
      <c r="E117" s="42">
        <v>0.1</v>
      </c>
      <c r="F117" s="92">
        <v>6.4000000000000001E-2</v>
      </c>
      <c r="G117" s="738"/>
      <c r="H117" s="48">
        <v>0.1</v>
      </c>
    </row>
    <row r="118" spans="1:9" ht="20.100000000000001" customHeight="1" thickBot="1" x14ac:dyDescent="0.3">
      <c r="A118" s="549"/>
      <c r="B118" s="2">
        <v>2022</v>
      </c>
      <c r="C118" s="33"/>
      <c r="D118" s="97">
        <v>0.1</v>
      </c>
      <c r="E118" s="42">
        <v>0.1</v>
      </c>
      <c r="F118" s="92">
        <v>6.4000000000000001E-2</v>
      </c>
      <c r="G118" s="738"/>
      <c r="H118" s="48">
        <v>0.1</v>
      </c>
    </row>
    <row r="119" spans="1:9" ht="20.100000000000001" customHeight="1" thickBot="1" x14ac:dyDescent="0.3">
      <c r="A119" s="549"/>
      <c r="B119" s="2">
        <v>2023</v>
      </c>
      <c r="C119" s="33"/>
      <c r="D119" s="97">
        <v>0.1</v>
      </c>
      <c r="E119" s="42">
        <v>0.1</v>
      </c>
      <c r="F119" s="92">
        <v>6.4000000000000001E-2</v>
      </c>
      <c r="G119" s="738"/>
      <c r="H119" s="48">
        <v>0.1</v>
      </c>
    </row>
    <row r="120" spans="1:9" ht="20.100000000000001" customHeight="1" thickBot="1" x14ac:dyDescent="0.3">
      <c r="A120" s="549"/>
      <c r="B120" s="2">
        <v>2024</v>
      </c>
      <c r="C120" s="33"/>
      <c r="D120" s="97">
        <v>0.1</v>
      </c>
      <c r="E120" s="42">
        <v>0.1</v>
      </c>
      <c r="F120" s="92">
        <v>6.4000000000000001E-2</v>
      </c>
      <c r="G120" s="738"/>
      <c r="H120" s="48">
        <v>0.1</v>
      </c>
    </row>
    <row r="121" spans="1:9" ht="20.100000000000001" customHeight="1" x14ac:dyDescent="0.25">
      <c r="A121" s="549"/>
      <c r="B121" s="376"/>
      <c r="C121" s="923"/>
      <c r="D121" s="923">
        <f>+(D120-D109)/D109</f>
        <v>0</v>
      </c>
      <c r="E121" s="923">
        <f t="shared" ref="E121:H121" si="5">+(E120-E104)/E104</f>
        <v>0</v>
      </c>
      <c r="F121" s="923">
        <f t="shared" si="5"/>
        <v>0.27999999999999997</v>
      </c>
      <c r="G121" s="923"/>
      <c r="H121" s="923">
        <f t="shared" si="5"/>
        <v>32.333333333333336</v>
      </c>
      <c r="I121" s="781" t="s">
        <v>226</v>
      </c>
    </row>
    <row r="122" spans="1:9" ht="20.100000000000001" customHeight="1" x14ac:dyDescent="0.25">
      <c r="A122" s="495"/>
    </row>
    <row r="123" spans="1:9" ht="20.100000000000001" customHeight="1" thickBot="1" x14ac:dyDescent="0.3">
      <c r="A123" s="1367" t="s">
        <v>10</v>
      </c>
      <c r="B123" s="376"/>
      <c r="C123" s="2" t="s">
        <v>23</v>
      </c>
      <c r="D123" s="2" t="s">
        <v>24</v>
      </c>
      <c r="E123" s="2" t="s">
        <v>27</v>
      </c>
      <c r="F123" s="2" t="s">
        <v>26</v>
      </c>
      <c r="G123" s="2" t="s">
        <v>28</v>
      </c>
      <c r="H123" s="2" t="s">
        <v>29</v>
      </c>
    </row>
    <row r="124" spans="1:9" ht="20.100000000000001" customHeight="1" thickBot="1" x14ac:dyDescent="0.3">
      <c r="A124" s="1367"/>
      <c r="B124" s="376">
        <v>2008</v>
      </c>
      <c r="C124" s="31">
        <v>0.27200000000000002</v>
      </c>
      <c r="D124" s="40">
        <v>0.27</v>
      </c>
      <c r="E124" s="42">
        <v>0.92400000000000004</v>
      </c>
      <c r="F124" s="44">
        <v>1</v>
      </c>
      <c r="G124" s="46">
        <v>0.84199999999999997</v>
      </c>
      <c r="H124" s="770">
        <v>1</v>
      </c>
    </row>
    <row r="125" spans="1:9" ht="20.100000000000001" customHeight="1" thickBot="1" x14ac:dyDescent="0.3">
      <c r="A125" s="1367"/>
      <c r="B125" s="376">
        <v>2009</v>
      </c>
      <c r="C125" s="31">
        <v>0.31900000000000001</v>
      </c>
      <c r="D125" s="40">
        <v>0.27800000000000002</v>
      </c>
      <c r="E125" s="42">
        <v>0.94199999999999995</v>
      </c>
      <c r="F125" s="92">
        <v>1.02</v>
      </c>
      <c r="G125" s="46">
        <v>0.84199999999999997</v>
      </c>
      <c r="H125" s="48">
        <v>1</v>
      </c>
    </row>
    <row r="126" spans="1:9" ht="20.100000000000001" customHeight="1" thickBot="1" x14ac:dyDescent="0.3">
      <c r="A126" s="1367"/>
      <c r="B126" s="376">
        <v>2010</v>
      </c>
      <c r="C126" s="31">
        <v>0.31900000000000001</v>
      </c>
      <c r="D126" s="40">
        <v>0.312</v>
      </c>
      <c r="E126" s="42">
        <v>0.96099999999999997</v>
      </c>
      <c r="F126" s="92">
        <v>1.02</v>
      </c>
      <c r="G126" s="46">
        <v>0.85899999999999999</v>
      </c>
      <c r="H126" s="48">
        <v>1</v>
      </c>
    </row>
    <row r="127" spans="1:9" ht="20.100000000000001" customHeight="1" thickBot="1" x14ac:dyDescent="0.3">
      <c r="A127" s="1367"/>
      <c r="B127" s="376">
        <v>2011</v>
      </c>
      <c r="C127" s="31">
        <v>0.35699999999999998</v>
      </c>
      <c r="D127" s="97">
        <v>0.35</v>
      </c>
      <c r="E127" s="42">
        <v>0.98</v>
      </c>
      <c r="F127" s="92">
        <v>1.04</v>
      </c>
      <c r="G127" s="46">
        <v>0.85899999999999999</v>
      </c>
      <c r="H127" s="48">
        <v>1</v>
      </c>
    </row>
    <row r="128" spans="1:9" ht="20.100000000000001" customHeight="1" thickBot="1" x14ac:dyDescent="0.3">
      <c r="A128" s="1367"/>
      <c r="B128" s="376">
        <v>2012</v>
      </c>
      <c r="C128" s="31">
        <v>0.35699999999999998</v>
      </c>
      <c r="D128" s="97">
        <v>0.39400000000000002</v>
      </c>
      <c r="E128" s="42">
        <v>1</v>
      </c>
      <c r="F128" s="92">
        <v>1.0609999999999999</v>
      </c>
      <c r="G128" s="46">
        <v>0.85899999999999999</v>
      </c>
      <c r="H128" s="48">
        <v>1</v>
      </c>
    </row>
    <row r="129" spans="1:9" ht="20.100000000000001" customHeight="1" thickBot="1" x14ac:dyDescent="0.3">
      <c r="A129" s="1367"/>
      <c r="B129" s="376">
        <v>2013</v>
      </c>
      <c r="C129" s="31">
        <v>0.6</v>
      </c>
      <c r="D129" s="97">
        <v>0.4</v>
      </c>
      <c r="E129" s="287">
        <v>0.99</v>
      </c>
      <c r="F129" s="92">
        <v>1.1140000000000001</v>
      </c>
      <c r="G129" s="393">
        <v>0.96199999999999997</v>
      </c>
      <c r="H129" s="48">
        <v>1</v>
      </c>
    </row>
    <row r="130" spans="1:9" ht="20.100000000000001" customHeight="1" thickBot="1" x14ac:dyDescent="0.3">
      <c r="A130" s="1367"/>
      <c r="B130" s="376">
        <v>2014</v>
      </c>
      <c r="C130" s="31">
        <v>0.7</v>
      </c>
      <c r="D130" s="97">
        <v>0.41</v>
      </c>
      <c r="E130" s="284">
        <v>0.98009999999999997</v>
      </c>
      <c r="F130" s="92">
        <v>1.17</v>
      </c>
      <c r="G130" s="46">
        <v>1.0649999999999999</v>
      </c>
      <c r="H130" s="48">
        <v>1</v>
      </c>
    </row>
    <row r="131" spans="1:9" ht="20.100000000000001" customHeight="1" thickBot="1" x14ac:dyDescent="0.3">
      <c r="A131" s="1367"/>
      <c r="B131" s="376">
        <v>2015</v>
      </c>
      <c r="C131" s="31">
        <v>0.8</v>
      </c>
      <c r="D131" s="97">
        <v>0.42</v>
      </c>
      <c r="E131" s="284">
        <v>0.97030000000000005</v>
      </c>
      <c r="F131" s="92">
        <v>1.2290000000000001</v>
      </c>
      <c r="G131" s="46">
        <v>1.1679999999999999</v>
      </c>
      <c r="H131" s="48">
        <v>1</v>
      </c>
    </row>
    <row r="132" spans="1:9" ht="20.100000000000001" customHeight="1" thickBot="1" x14ac:dyDescent="0.3">
      <c r="A132" s="1367"/>
      <c r="B132" s="376">
        <v>2016</v>
      </c>
      <c r="C132" s="31">
        <v>0.9</v>
      </c>
      <c r="D132" s="97">
        <v>0.43</v>
      </c>
      <c r="E132" s="284">
        <v>0.96060000000000001</v>
      </c>
      <c r="F132" s="92">
        <v>1.29</v>
      </c>
      <c r="G132" s="46">
        <v>1.2709999999999999</v>
      </c>
      <c r="H132" s="48">
        <v>1</v>
      </c>
    </row>
    <row r="133" spans="1:9" ht="20.100000000000001" customHeight="1" thickBot="1" x14ac:dyDescent="0.3">
      <c r="A133" s="1367"/>
      <c r="B133" s="376">
        <v>2017</v>
      </c>
      <c r="C133" s="31">
        <v>1.1000000000000001</v>
      </c>
      <c r="D133" s="97">
        <v>0.44</v>
      </c>
      <c r="E133" s="284">
        <v>0.95099999999999996</v>
      </c>
      <c r="F133" s="92">
        <v>1.355</v>
      </c>
      <c r="G133" s="46">
        <v>1.3740000000000001</v>
      </c>
      <c r="H133" s="48">
        <v>1</v>
      </c>
    </row>
    <row r="134" spans="1:9" ht="20.100000000000001" customHeight="1" thickBot="1" x14ac:dyDescent="0.3">
      <c r="A134" s="1367"/>
      <c r="B134" s="376">
        <v>2018</v>
      </c>
      <c r="C134" s="31">
        <v>1.2</v>
      </c>
      <c r="D134" s="97">
        <v>0.44</v>
      </c>
      <c r="E134" s="284">
        <v>0.9415</v>
      </c>
      <c r="F134" s="92">
        <v>1.423</v>
      </c>
      <c r="G134" s="46">
        <v>1.3739999999999999</v>
      </c>
      <c r="H134" s="48">
        <v>1</v>
      </c>
    </row>
    <row r="135" spans="1:9" ht="20.100000000000001" customHeight="1" thickBot="1" x14ac:dyDescent="0.3">
      <c r="A135" s="550"/>
      <c r="B135" s="2">
        <v>2019</v>
      </c>
      <c r="C135" s="31">
        <v>1.2</v>
      </c>
      <c r="D135" s="97">
        <v>0.44</v>
      </c>
      <c r="E135" s="284">
        <v>0.9415</v>
      </c>
      <c r="F135" s="92">
        <v>1.2809999999999999</v>
      </c>
      <c r="G135" s="46">
        <v>1.3739999999999999</v>
      </c>
      <c r="H135" s="48">
        <v>1</v>
      </c>
    </row>
    <row r="136" spans="1:9" ht="20.100000000000001" customHeight="1" thickBot="1" x14ac:dyDescent="0.3">
      <c r="A136" s="550"/>
      <c r="B136" s="2">
        <v>2020</v>
      </c>
      <c r="C136" s="31">
        <v>1.2</v>
      </c>
      <c r="D136" s="97">
        <v>0.44</v>
      </c>
      <c r="E136" s="284">
        <v>0.9415</v>
      </c>
      <c r="F136" s="92">
        <v>1.2809999999999999</v>
      </c>
      <c r="G136" s="46">
        <v>1.3739999999999999</v>
      </c>
      <c r="H136" s="48">
        <v>1</v>
      </c>
    </row>
    <row r="137" spans="1:9" ht="20.100000000000001" customHeight="1" thickBot="1" x14ac:dyDescent="0.3">
      <c r="A137" s="550"/>
      <c r="B137" s="2">
        <v>2021</v>
      </c>
      <c r="C137" s="31">
        <v>1.2</v>
      </c>
      <c r="D137" s="97">
        <v>0.44</v>
      </c>
      <c r="E137" s="284">
        <v>0.9415</v>
      </c>
      <c r="F137" s="92">
        <v>1.2809999999999999</v>
      </c>
      <c r="G137" s="46">
        <v>1.3739999999999999</v>
      </c>
      <c r="H137" s="48">
        <v>1</v>
      </c>
    </row>
    <row r="138" spans="1:9" ht="20.100000000000001" customHeight="1" thickBot="1" x14ac:dyDescent="0.3">
      <c r="A138" s="550"/>
      <c r="B138" s="2">
        <v>2022</v>
      </c>
      <c r="C138" s="31">
        <v>1.2</v>
      </c>
      <c r="D138" s="97">
        <v>0.44</v>
      </c>
      <c r="E138" s="284">
        <v>0.9415</v>
      </c>
      <c r="F138" s="92">
        <v>1.2809999999999999</v>
      </c>
      <c r="G138" s="46">
        <v>1.3739999999999999</v>
      </c>
      <c r="H138" s="48">
        <v>1</v>
      </c>
    </row>
    <row r="139" spans="1:9" ht="20.100000000000001" customHeight="1" thickBot="1" x14ac:dyDescent="0.3">
      <c r="A139" s="550"/>
      <c r="B139" s="2">
        <v>2023</v>
      </c>
      <c r="C139" s="31">
        <v>1.2</v>
      </c>
      <c r="D139" s="97">
        <v>0.44</v>
      </c>
      <c r="E139" s="284">
        <v>0.9415</v>
      </c>
      <c r="F139" s="92">
        <v>1.2809999999999999</v>
      </c>
      <c r="G139" s="46">
        <v>1.3739999999999999</v>
      </c>
      <c r="H139" s="48">
        <v>1</v>
      </c>
    </row>
    <row r="140" spans="1:9" ht="20.100000000000001" customHeight="1" x14ac:dyDescent="0.25">
      <c r="A140" s="550"/>
      <c r="B140" s="2">
        <v>2024</v>
      </c>
      <c r="C140" s="31">
        <v>1.2</v>
      </c>
      <c r="D140" s="97">
        <v>0.44</v>
      </c>
      <c r="E140" s="284">
        <v>0.9415</v>
      </c>
      <c r="F140" s="92">
        <v>1.2809999999999999</v>
      </c>
      <c r="G140" s="46">
        <v>1.3739999999999999</v>
      </c>
      <c r="H140" s="48">
        <v>1</v>
      </c>
    </row>
    <row r="141" spans="1:9" ht="20.100000000000001" customHeight="1" x14ac:dyDescent="0.25">
      <c r="A141" s="550"/>
      <c r="B141" s="376"/>
      <c r="C141" s="880">
        <f>+(C140-C124)/C124</f>
        <v>3.4117647058823524</v>
      </c>
      <c r="D141" s="880">
        <f t="shared" ref="D141:H141" si="6">+(D140-D124)/D124</f>
        <v>0.62962962962962954</v>
      </c>
      <c r="E141" s="880">
        <f t="shared" si="6"/>
        <v>1.8939393939393895E-2</v>
      </c>
      <c r="F141" s="880">
        <f t="shared" si="6"/>
        <v>0.28099999999999992</v>
      </c>
      <c r="G141" s="880">
        <f t="shared" si="6"/>
        <v>0.63182897862232767</v>
      </c>
      <c r="H141" s="880">
        <f t="shared" si="6"/>
        <v>0</v>
      </c>
      <c r="I141" s="781" t="s">
        <v>226</v>
      </c>
    </row>
    <row r="142" spans="1:9" ht="20.100000000000001" customHeight="1" x14ac:dyDescent="0.25">
      <c r="A142" s="495"/>
    </row>
    <row r="143" spans="1:9" ht="34.5" customHeight="1" thickBot="1" x14ac:dyDescent="0.3">
      <c r="A143" s="549"/>
      <c r="B143" s="376"/>
      <c r="C143" s="2" t="s">
        <v>23</v>
      </c>
      <c r="D143" s="2" t="s">
        <v>24</v>
      </c>
      <c r="E143" s="2" t="s">
        <v>27</v>
      </c>
      <c r="F143" s="2" t="s">
        <v>26</v>
      </c>
      <c r="G143" s="2" t="s">
        <v>28</v>
      </c>
      <c r="H143" s="2" t="s">
        <v>29</v>
      </c>
    </row>
    <row r="144" spans="1:9" ht="20.100000000000001" customHeight="1" thickBot="1" x14ac:dyDescent="0.3">
      <c r="A144" s="1371" t="s">
        <v>198</v>
      </c>
      <c r="B144" s="376">
        <v>2008</v>
      </c>
      <c r="C144" s="31"/>
      <c r="D144" s="40"/>
      <c r="E144" s="42"/>
      <c r="F144" s="44">
        <v>0.1</v>
      </c>
      <c r="G144" s="46">
        <v>7.6999999999999999E-2</v>
      </c>
      <c r="H144" s="48">
        <v>0.1</v>
      </c>
    </row>
    <row r="145" spans="1:8" ht="20.100000000000001" customHeight="1" thickBot="1" x14ac:dyDescent="0.3">
      <c r="A145" s="1371"/>
      <c r="B145" s="376">
        <v>2009</v>
      </c>
      <c r="C145" s="31"/>
      <c r="D145" s="40"/>
      <c r="E145" s="42"/>
      <c r="F145" s="92">
        <v>0.105</v>
      </c>
      <c r="G145" s="46">
        <v>7.6999999999999999E-2</v>
      </c>
      <c r="H145" s="48">
        <v>0.1</v>
      </c>
    </row>
    <row r="146" spans="1:8" ht="20.100000000000001" customHeight="1" thickBot="1" x14ac:dyDescent="0.3">
      <c r="A146" s="1371"/>
      <c r="B146" s="376">
        <v>2010</v>
      </c>
      <c r="C146" s="31"/>
      <c r="D146" s="40"/>
      <c r="E146" s="42"/>
      <c r="F146" s="92">
        <v>0.105</v>
      </c>
      <c r="G146" s="46">
        <v>7.9000000000000001E-2</v>
      </c>
      <c r="H146" s="48">
        <v>0.1</v>
      </c>
    </row>
    <row r="147" spans="1:8" ht="20.100000000000001" customHeight="1" thickBot="1" x14ac:dyDescent="0.3">
      <c r="A147" s="1371"/>
      <c r="B147" s="376">
        <v>2011</v>
      </c>
      <c r="C147" s="31"/>
      <c r="D147" s="97"/>
      <c r="E147" s="42"/>
      <c r="F147" s="92">
        <v>0.11</v>
      </c>
      <c r="G147" s="46">
        <v>7.9000000000000001E-2</v>
      </c>
      <c r="H147" s="48">
        <v>0.1</v>
      </c>
    </row>
    <row r="148" spans="1:8" ht="20.100000000000001" customHeight="1" thickBot="1" x14ac:dyDescent="0.3">
      <c r="A148" s="1371"/>
      <c r="B148" s="376">
        <v>2012</v>
      </c>
      <c r="C148" s="31"/>
      <c r="D148" s="97"/>
      <c r="E148" s="42"/>
      <c r="F148" s="92">
        <v>0.115</v>
      </c>
      <c r="G148" s="46">
        <v>7.9000000000000001E-2</v>
      </c>
      <c r="H148" s="48">
        <v>0.1</v>
      </c>
    </row>
    <row r="149" spans="1:8" ht="20.100000000000001" customHeight="1" thickBot="1" x14ac:dyDescent="0.3">
      <c r="A149" s="1371"/>
      <c r="B149" s="376">
        <v>2013</v>
      </c>
      <c r="C149" s="31"/>
      <c r="D149" s="97"/>
      <c r="E149" s="287"/>
      <c r="F149" s="92">
        <v>0.12</v>
      </c>
      <c r="G149" s="393">
        <v>8.8200000000000001E-2</v>
      </c>
      <c r="H149" s="48">
        <v>0.1</v>
      </c>
    </row>
    <row r="150" spans="1:8" ht="20.100000000000001" customHeight="1" thickBot="1" x14ac:dyDescent="0.3">
      <c r="A150" s="1371"/>
      <c r="B150" s="376">
        <v>2014</v>
      </c>
      <c r="C150" s="31"/>
      <c r="D150" s="97"/>
      <c r="E150" s="284"/>
      <c r="F150" s="92">
        <v>0.125</v>
      </c>
      <c r="G150" s="46">
        <v>9.74E-2</v>
      </c>
      <c r="H150" s="48">
        <v>0.1</v>
      </c>
    </row>
    <row r="151" spans="1:8" ht="20.100000000000001" customHeight="1" thickBot="1" x14ac:dyDescent="0.3">
      <c r="A151" s="1371"/>
      <c r="B151" s="376">
        <v>2015</v>
      </c>
      <c r="C151" s="31"/>
      <c r="D151" s="97"/>
      <c r="E151" s="284"/>
      <c r="F151" s="92">
        <v>0.13100000000000001</v>
      </c>
      <c r="G151" s="46">
        <v>0.1066</v>
      </c>
      <c r="H151" s="48">
        <v>0.1</v>
      </c>
    </row>
    <row r="152" spans="1:8" ht="20.100000000000001" customHeight="1" thickBot="1" x14ac:dyDescent="0.3">
      <c r="A152" s="1371"/>
      <c r="B152" s="376">
        <v>2016</v>
      </c>
      <c r="C152" s="31"/>
      <c r="D152" s="97"/>
      <c r="E152" s="284"/>
      <c r="F152" s="92">
        <v>0.13700000000000001</v>
      </c>
      <c r="G152" s="46">
        <v>0.1158</v>
      </c>
      <c r="H152" s="48">
        <v>0.1</v>
      </c>
    </row>
    <row r="153" spans="1:8" ht="20.100000000000001" customHeight="1" thickBot="1" x14ac:dyDescent="0.3">
      <c r="A153" s="1371"/>
      <c r="B153" s="376">
        <v>2017</v>
      </c>
      <c r="C153" s="31"/>
      <c r="D153" s="97"/>
      <c r="E153" s="284"/>
      <c r="F153" s="92">
        <v>0.14299999999999999</v>
      </c>
      <c r="G153" s="46">
        <v>0.125</v>
      </c>
      <c r="H153" s="48">
        <v>0.1</v>
      </c>
    </row>
    <row r="154" spans="1:8" ht="20.100000000000001" customHeight="1" thickBot="1" x14ac:dyDescent="0.3">
      <c r="A154" s="1371"/>
      <c r="B154" s="376">
        <v>2018</v>
      </c>
      <c r="C154" s="31"/>
      <c r="D154" s="97"/>
      <c r="E154" s="284"/>
      <c r="F154" s="92">
        <v>0.14899999999999999</v>
      </c>
      <c r="G154" s="46">
        <v>0.125</v>
      </c>
      <c r="H154" s="48">
        <v>0.1</v>
      </c>
    </row>
    <row r="155" spans="1:8" ht="20.100000000000001" customHeight="1" thickBot="1" x14ac:dyDescent="0.3">
      <c r="A155" s="549"/>
      <c r="B155" s="2">
        <v>2019</v>
      </c>
      <c r="C155" s="31"/>
      <c r="D155" s="97"/>
      <c r="E155" s="284">
        <v>0.02</v>
      </c>
      <c r="F155" s="92">
        <v>0.13400000000000001</v>
      </c>
      <c r="G155" s="738"/>
      <c r="H155" s="48">
        <v>0.1</v>
      </c>
    </row>
    <row r="156" spans="1:8" ht="20.100000000000001" customHeight="1" thickBot="1" x14ac:dyDescent="0.3">
      <c r="A156" s="549"/>
      <c r="B156" s="2">
        <v>2020</v>
      </c>
      <c r="C156" s="31"/>
      <c r="D156" s="97"/>
      <c r="E156" s="284">
        <v>0.02</v>
      </c>
      <c r="F156" s="92">
        <v>0.13400000000000001</v>
      </c>
      <c r="G156" s="738"/>
      <c r="H156" s="48">
        <v>0.1</v>
      </c>
    </row>
    <row r="157" spans="1:8" ht="20.100000000000001" customHeight="1" thickBot="1" x14ac:dyDescent="0.3">
      <c r="A157" s="549"/>
      <c r="B157" s="2">
        <v>2021</v>
      </c>
      <c r="C157" s="31"/>
      <c r="D157" s="97"/>
      <c r="E157" s="284">
        <v>0.04</v>
      </c>
      <c r="F157" s="92">
        <v>0.13400000000000001</v>
      </c>
      <c r="G157" s="738"/>
      <c r="H157" s="48">
        <v>0.1</v>
      </c>
    </row>
    <row r="158" spans="1:8" ht="20.100000000000001" customHeight="1" thickBot="1" x14ac:dyDescent="0.3">
      <c r="A158" s="549"/>
      <c r="B158" s="2">
        <v>2022</v>
      </c>
      <c r="C158" s="31"/>
      <c r="D158" s="97"/>
      <c r="E158" s="284">
        <v>0.04</v>
      </c>
      <c r="F158" s="92">
        <v>0.13400000000000001</v>
      </c>
      <c r="G158" s="738"/>
      <c r="H158" s="48">
        <v>0.1</v>
      </c>
    </row>
    <row r="159" spans="1:8" ht="20.100000000000001" customHeight="1" thickBot="1" x14ac:dyDescent="0.3">
      <c r="A159" s="549"/>
      <c r="B159" s="2">
        <v>2023</v>
      </c>
      <c r="C159" s="31"/>
      <c r="D159" s="97"/>
      <c r="E159" s="284">
        <v>4.5999999999999999E-2</v>
      </c>
      <c r="F159" s="92">
        <v>0.13400000000000001</v>
      </c>
      <c r="G159" s="738"/>
      <c r="H159" s="48">
        <v>0.1</v>
      </c>
    </row>
    <row r="160" spans="1:8" ht="20.100000000000001" customHeight="1" x14ac:dyDescent="0.25">
      <c r="A160" s="549"/>
      <c r="B160" s="2">
        <v>2024</v>
      </c>
      <c r="C160" s="31"/>
      <c r="D160" s="97"/>
      <c r="E160" s="284">
        <v>5.2999999999999999E-2</v>
      </c>
      <c r="F160" s="92">
        <v>0.13400000000000001</v>
      </c>
      <c r="G160" s="738"/>
      <c r="H160" s="48">
        <v>0.1</v>
      </c>
    </row>
    <row r="161" spans="1:9" ht="26.25" customHeight="1" x14ac:dyDescent="0.25">
      <c r="A161" s="549"/>
      <c r="B161" s="376"/>
      <c r="C161" s="880"/>
      <c r="D161" s="880"/>
      <c r="E161" s="553" t="s">
        <v>173</v>
      </c>
      <c r="F161" s="880">
        <f t="shared" ref="F161:H161" si="7">+(F160-F144)/F144</f>
        <v>0.34</v>
      </c>
      <c r="G161" s="880">
        <f t="shared" si="7"/>
        <v>-1</v>
      </c>
      <c r="H161" s="880">
        <f t="shared" si="7"/>
        <v>0</v>
      </c>
      <c r="I161" s="781" t="s">
        <v>226</v>
      </c>
    </row>
    <row r="162" spans="1:9" ht="20.100000000000001" customHeight="1" x14ac:dyDescent="0.25">
      <c r="A162" s="495"/>
    </row>
    <row r="163" spans="1:9" ht="20.100000000000001" customHeight="1" thickBot="1" x14ac:dyDescent="0.3">
      <c r="A163" s="1371" t="s">
        <v>196</v>
      </c>
      <c r="B163" s="376"/>
      <c r="C163" s="2" t="s">
        <v>23</v>
      </c>
      <c r="D163" s="2" t="s">
        <v>24</v>
      </c>
      <c r="E163" s="2" t="s">
        <v>27</v>
      </c>
      <c r="F163" s="2" t="s">
        <v>26</v>
      </c>
      <c r="G163" s="2" t="s">
        <v>28</v>
      </c>
      <c r="H163" s="2" t="s">
        <v>29</v>
      </c>
    </row>
    <row r="164" spans="1:9" ht="20.100000000000001" customHeight="1" thickBot="1" x14ac:dyDescent="0.3">
      <c r="A164" s="1371"/>
      <c r="B164" s="376">
        <v>2008</v>
      </c>
      <c r="C164" s="31">
        <v>21.25</v>
      </c>
      <c r="D164" s="40">
        <v>8.5</v>
      </c>
      <c r="E164" s="42">
        <v>55.43</v>
      </c>
      <c r="F164" s="44">
        <v>42.5</v>
      </c>
      <c r="G164" s="46">
        <v>42.5</v>
      </c>
      <c r="H164" s="747">
        <v>20</v>
      </c>
    </row>
    <row r="165" spans="1:9" ht="20.100000000000001" customHeight="1" thickBot="1" x14ac:dyDescent="0.3">
      <c r="A165" s="1371"/>
      <c r="B165" s="376">
        <v>2009</v>
      </c>
      <c r="C165" s="31">
        <v>25.5</v>
      </c>
      <c r="D165" s="40">
        <v>8.7550000000000008</v>
      </c>
      <c r="E165" s="42">
        <v>56.54</v>
      </c>
      <c r="F165" s="92">
        <v>43.35</v>
      </c>
      <c r="G165" s="46">
        <v>42.5</v>
      </c>
      <c r="H165" s="48">
        <v>20</v>
      </c>
    </row>
    <row r="166" spans="1:9" ht="20.100000000000001" customHeight="1" thickBot="1" x14ac:dyDescent="0.3">
      <c r="A166" s="1371"/>
      <c r="B166" s="376">
        <v>2010</v>
      </c>
      <c r="C166" s="31">
        <v>30.6</v>
      </c>
      <c r="D166" s="40">
        <v>9.83</v>
      </c>
      <c r="E166" s="42">
        <v>57.67</v>
      </c>
      <c r="F166" s="92">
        <v>43.35</v>
      </c>
      <c r="G166" s="46">
        <v>43.35</v>
      </c>
      <c r="H166" s="48">
        <v>20</v>
      </c>
    </row>
    <row r="167" spans="1:9" ht="20.100000000000001" customHeight="1" thickBot="1" x14ac:dyDescent="0.3">
      <c r="A167" s="1371"/>
      <c r="B167" s="376">
        <v>2011</v>
      </c>
      <c r="C167" s="31">
        <v>36.700000000000003</v>
      </c>
      <c r="D167" s="97">
        <v>11.035</v>
      </c>
      <c r="E167" s="42">
        <v>58.82</v>
      </c>
      <c r="F167" s="92">
        <v>44.216999999999999</v>
      </c>
      <c r="G167" s="46">
        <v>43.35</v>
      </c>
      <c r="H167" s="48">
        <v>20</v>
      </c>
    </row>
    <row r="168" spans="1:9" ht="20.100000000000001" customHeight="1" thickBot="1" x14ac:dyDescent="0.3">
      <c r="A168" s="1371"/>
      <c r="B168" s="376">
        <v>2012</v>
      </c>
      <c r="C168" s="31">
        <v>44.1</v>
      </c>
      <c r="D168" s="97">
        <v>12.39</v>
      </c>
      <c r="E168" s="42">
        <v>60</v>
      </c>
      <c r="F168" s="92">
        <v>45.100999999999999</v>
      </c>
      <c r="G168" s="46">
        <v>43.35</v>
      </c>
      <c r="H168" s="48">
        <v>20</v>
      </c>
    </row>
    <row r="169" spans="1:9" ht="20.100000000000001" customHeight="1" thickBot="1" x14ac:dyDescent="0.3">
      <c r="A169" s="1371"/>
      <c r="B169" s="376">
        <v>2013</v>
      </c>
      <c r="C169" s="31">
        <v>50</v>
      </c>
      <c r="D169" s="97">
        <v>12.6</v>
      </c>
      <c r="E169" s="476">
        <v>60</v>
      </c>
      <c r="F169" s="92">
        <v>47.356000000000002</v>
      </c>
      <c r="G169" s="46">
        <v>43.35</v>
      </c>
      <c r="H169" s="48">
        <v>20</v>
      </c>
    </row>
    <row r="170" spans="1:9" ht="20.100000000000001" customHeight="1" thickBot="1" x14ac:dyDescent="0.3">
      <c r="A170" s="1371"/>
      <c r="B170" s="376">
        <v>2014</v>
      </c>
      <c r="C170" s="31">
        <v>52</v>
      </c>
      <c r="D170" s="97">
        <v>12.9</v>
      </c>
      <c r="E170" s="42">
        <v>60</v>
      </c>
      <c r="F170" s="92">
        <v>49.723999999999997</v>
      </c>
      <c r="G170" s="46">
        <v>43.35</v>
      </c>
      <c r="H170" s="48">
        <v>20</v>
      </c>
    </row>
    <row r="171" spans="1:9" ht="20.100000000000001" customHeight="1" thickBot="1" x14ac:dyDescent="0.3">
      <c r="A171" s="1371"/>
      <c r="B171" s="376">
        <v>2015</v>
      </c>
      <c r="C171" s="31">
        <v>54</v>
      </c>
      <c r="D171" s="97">
        <v>13.1</v>
      </c>
      <c r="E171" s="42">
        <v>60</v>
      </c>
      <c r="F171" s="92">
        <v>52.21</v>
      </c>
      <c r="G171" s="46">
        <v>43.35</v>
      </c>
      <c r="H171" s="48">
        <v>20</v>
      </c>
    </row>
    <row r="172" spans="1:9" ht="20.100000000000001" customHeight="1" thickBot="1" x14ac:dyDescent="0.3">
      <c r="A172" s="1371"/>
      <c r="B172" s="376">
        <v>2016</v>
      </c>
      <c r="C172" s="31">
        <v>56</v>
      </c>
      <c r="D172" s="97">
        <v>13.4</v>
      </c>
      <c r="E172" s="42">
        <v>60</v>
      </c>
      <c r="F172" s="92">
        <v>54.820999999999998</v>
      </c>
      <c r="G172" s="46">
        <v>43.35</v>
      </c>
      <c r="H172" s="48">
        <v>20</v>
      </c>
    </row>
    <row r="173" spans="1:9" ht="20.100000000000001" customHeight="1" thickBot="1" x14ac:dyDescent="0.3">
      <c r="A173" s="1371"/>
      <c r="B173" s="376">
        <v>2017</v>
      </c>
      <c r="C173" s="31">
        <v>58</v>
      </c>
      <c r="D173" s="97">
        <v>13.7</v>
      </c>
      <c r="E173" s="42">
        <v>60</v>
      </c>
      <c r="F173" s="92">
        <v>57.561999999999998</v>
      </c>
      <c r="G173" s="46">
        <v>43.35</v>
      </c>
      <c r="H173" s="48">
        <v>20</v>
      </c>
    </row>
    <row r="174" spans="1:9" ht="20.100000000000001" customHeight="1" thickBot="1" x14ac:dyDescent="0.3">
      <c r="A174" s="1371"/>
      <c r="B174" s="376">
        <v>2018</v>
      </c>
      <c r="C174" s="31">
        <v>60</v>
      </c>
      <c r="D174" s="475">
        <v>14</v>
      </c>
      <c r="E174" s="42">
        <v>60</v>
      </c>
      <c r="F174" s="92">
        <v>60.643999999999998</v>
      </c>
      <c r="G174" s="46">
        <v>43.35</v>
      </c>
      <c r="H174" s="48">
        <v>20</v>
      </c>
    </row>
    <row r="175" spans="1:9" ht="20.100000000000001" customHeight="1" thickBot="1" x14ac:dyDescent="0.3">
      <c r="A175" s="549"/>
      <c r="B175" s="2">
        <v>2019</v>
      </c>
      <c r="C175" s="31">
        <v>60</v>
      </c>
      <c r="D175" s="475">
        <v>14</v>
      </c>
      <c r="E175" s="42">
        <v>60</v>
      </c>
      <c r="F175" s="92">
        <v>54.396000000000001</v>
      </c>
      <c r="G175" s="46">
        <v>43.35</v>
      </c>
      <c r="H175" s="48">
        <v>20</v>
      </c>
    </row>
    <row r="176" spans="1:9" ht="20.100000000000001" customHeight="1" thickBot="1" x14ac:dyDescent="0.3">
      <c r="A176" s="549"/>
      <c r="B176" s="2">
        <v>2020</v>
      </c>
      <c r="C176" s="31">
        <v>60</v>
      </c>
      <c r="D176" s="475">
        <v>14</v>
      </c>
      <c r="E176" s="42">
        <v>60</v>
      </c>
      <c r="F176" s="92">
        <v>54.396000000000001</v>
      </c>
      <c r="G176" s="46">
        <v>43.35</v>
      </c>
      <c r="H176" s="48">
        <v>20</v>
      </c>
    </row>
    <row r="177" spans="1:9" ht="20.100000000000001" customHeight="1" thickBot="1" x14ac:dyDescent="0.3">
      <c r="A177" s="549"/>
      <c r="B177" s="2">
        <v>2021</v>
      </c>
      <c r="C177" s="31">
        <v>60</v>
      </c>
      <c r="D177" s="475">
        <v>14</v>
      </c>
      <c r="E177" s="42">
        <v>60</v>
      </c>
      <c r="F177" s="92">
        <v>54.396000000000001</v>
      </c>
      <c r="G177" s="46">
        <v>43.35</v>
      </c>
      <c r="H177" s="48">
        <v>20</v>
      </c>
    </row>
    <row r="178" spans="1:9" ht="20.100000000000001" customHeight="1" thickBot="1" x14ac:dyDescent="0.3">
      <c r="A178" s="549"/>
      <c r="B178" s="2">
        <v>2022</v>
      </c>
      <c r="C178" s="31">
        <v>60</v>
      </c>
      <c r="D178" s="475">
        <v>14</v>
      </c>
      <c r="E178" s="42">
        <v>60</v>
      </c>
      <c r="F178" s="92">
        <v>54.396000000000001</v>
      </c>
      <c r="G178" s="46">
        <v>43.35</v>
      </c>
      <c r="H178" s="48">
        <v>20</v>
      </c>
    </row>
    <row r="179" spans="1:9" ht="20.100000000000001" customHeight="1" thickBot="1" x14ac:dyDescent="0.3">
      <c r="A179" s="549"/>
      <c r="B179" s="2">
        <v>2023</v>
      </c>
      <c r="C179" s="31">
        <v>60</v>
      </c>
      <c r="D179" s="475">
        <v>14</v>
      </c>
      <c r="E179" s="42">
        <v>60</v>
      </c>
      <c r="F179" s="92">
        <v>54.396000000000001</v>
      </c>
      <c r="G179" s="46">
        <v>43.35</v>
      </c>
      <c r="H179" s="48">
        <v>20</v>
      </c>
    </row>
    <row r="180" spans="1:9" ht="20.100000000000001" customHeight="1" x14ac:dyDescent="0.25">
      <c r="A180" s="549"/>
      <c r="B180" s="2">
        <v>2024</v>
      </c>
      <c r="C180" s="31">
        <v>60</v>
      </c>
      <c r="D180" s="475">
        <v>14</v>
      </c>
      <c r="E180" s="42">
        <v>60</v>
      </c>
      <c r="F180" s="92">
        <v>54.396000000000001</v>
      </c>
      <c r="G180" s="46">
        <v>43.35</v>
      </c>
      <c r="H180" s="48">
        <v>20</v>
      </c>
    </row>
    <row r="181" spans="1:9" ht="20.100000000000001" customHeight="1" x14ac:dyDescent="0.25">
      <c r="A181" s="549"/>
      <c r="B181" s="376"/>
      <c r="C181" s="880">
        <f t="shared" ref="C181" si="8">+(C174-C168)/C168</f>
        <v>0.36054421768707479</v>
      </c>
      <c r="D181" s="755">
        <f t="shared" ref="D181" si="9">+(D174-D168)/D168</f>
        <v>0.1299435028248587</v>
      </c>
      <c r="E181" s="755">
        <f t="shared" ref="E181" si="10">+(E174-E168)/E168</f>
        <v>0</v>
      </c>
      <c r="F181" s="755">
        <f t="shared" ref="F181" si="11">+(F174-F168)/F168</f>
        <v>0.3446265049555442</v>
      </c>
      <c r="G181" s="755">
        <f t="shared" ref="G181" si="12">+(G174-G168)/G168</f>
        <v>0</v>
      </c>
      <c r="H181" s="755">
        <f t="shared" ref="H181" si="13">+(H174-H168)/H168</f>
        <v>0</v>
      </c>
      <c r="I181" s="781" t="s">
        <v>226</v>
      </c>
    </row>
    <row r="182" spans="1:9" ht="20.100000000000001" customHeight="1" x14ac:dyDescent="0.25">
      <c r="A182" s="495"/>
    </row>
    <row r="183" spans="1:9" ht="20.100000000000001" customHeight="1" thickBot="1" x14ac:dyDescent="0.3">
      <c r="A183" s="1371" t="s">
        <v>197</v>
      </c>
      <c r="B183" s="376"/>
      <c r="C183" s="2" t="s">
        <v>23</v>
      </c>
      <c r="D183" s="2" t="s">
        <v>24</v>
      </c>
      <c r="E183" s="2" t="s">
        <v>27</v>
      </c>
      <c r="F183" s="2" t="s">
        <v>26</v>
      </c>
      <c r="G183" s="2" t="s">
        <v>28</v>
      </c>
      <c r="H183" s="2" t="s">
        <v>29</v>
      </c>
    </row>
    <row r="184" spans="1:9" ht="20.100000000000001" customHeight="1" thickBot="1" x14ac:dyDescent="0.3">
      <c r="A184" s="1371"/>
      <c r="B184" s="376">
        <v>2008</v>
      </c>
      <c r="C184" s="496">
        <v>1.6</v>
      </c>
      <c r="D184" s="41">
        <v>0.85</v>
      </c>
      <c r="E184" s="43">
        <v>8.5</v>
      </c>
      <c r="F184" s="45">
        <v>4.25</v>
      </c>
      <c r="G184" s="46"/>
      <c r="H184" s="747">
        <v>2</v>
      </c>
    </row>
    <row r="185" spans="1:9" ht="20.100000000000001" customHeight="1" thickBot="1" x14ac:dyDescent="0.3">
      <c r="A185" s="1371"/>
      <c r="B185" s="376">
        <v>2009</v>
      </c>
      <c r="C185" s="32">
        <v>1.9</v>
      </c>
      <c r="D185" s="41">
        <v>0.876</v>
      </c>
      <c r="E185" s="43">
        <v>8.5</v>
      </c>
      <c r="F185" s="93">
        <v>4.335</v>
      </c>
      <c r="G185" s="46"/>
      <c r="H185" s="48">
        <v>2</v>
      </c>
    </row>
    <row r="186" spans="1:9" ht="20.100000000000001" customHeight="1" thickBot="1" x14ac:dyDescent="0.3">
      <c r="A186" s="1371"/>
      <c r="B186" s="376">
        <v>2010</v>
      </c>
      <c r="C186" s="32">
        <v>2.2999999999999998</v>
      </c>
      <c r="D186" s="41">
        <v>0.98299999999999998</v>
      </c>
      <c r="E186" s="43">
        <v>8.5</v>
      </c>
      <c r="F186" s="93">
        <v>4.335</v>
      </c>
      <c r="G186" s="46"/>
      <c r="H186" s="48">
        <v>2</v>
      </c>
    </row>
    <row r="187" spans="1:9" ht="20.100000000000001" customHeight="1" thickBot="1" x14ac:dyDescent="0.3">
      <c r="A187" s="1371"/>
      <c r="B187" s="376">
        <v>2011</v>
      </c>
      <c r="C187" s="32">
        <v>2.7</v>
      </c>
      <c r="D187" s="98">
        <v>1.1040000000000001</v>
      </c>
      <c r="E187" s="43">
        <v>8.5</v>
      </c>
      <c r="F187" s="93">
        <v>4.4219999999999997</v>
      </c>
      <c r="G187" s="46"/>
      <c r="H187" s="48">
        <v>2</v>
      </c>
    </row>
    <row r="188" spans="1:9" ht="20.100000000000001" customHeight="1" thickBot="1" x14ac:dyDescent="0.3">
      <c r="A188" s="1371"/>
      <c r="B188" s="376">
        <v>2012</v>
      </c>
      <c r="C188" s="32">
        <v>3</v>
      </c>
      <c r="D188" s="98">
        <v>1.2390000000000001</v>
      </c>
      <c r="E188" s="43">
        <v>8.5</v>
      </c>
      <c r="F188" s="93">
        <v>4.51</v>
      </c>
      <c r="G188" s="46"/>
      <c r="H188" s="48">
        <v>2</v>
      </c>
    </row>
    <row r="189" spans="1:9" ht="20.100000000000001" customHeight="1" thickBot="1" x14ac:dyDescent="0.3">
      <c r="A189" s="1371"/>
      <c r="B189" s="376">
        <v>2013</v>
      </c>
      <c r="C189" s="32">
        <v>3</v>
      </c>
      <c r="D189" s="98">
        <v>1.26</v>
      </c>
      <c r="E189" s="43">
        <v>8.5</v>
      </c>
      <c r="F189" s="93">
        <v>4.7359999999999998</v>
      </c>
      <c r="G189" s="46"/>
      <c r="H189" s="48">
        <v>2</v>
      </c>
    </row>
    <row r="190" spans="1:9" ht="20.100000000000001" customHeight="1" thickBot="1" x14ac:dyDescent="0.3">
      <c r="A190" s="1371"/>
      <c r="B190" s="376">
        <v>2014</v>
      </c>
      <c r="C190" s="32">
        <v>3.4</v>
      </c>
      <c r="D190" s="98">
        <v>1.29</v>
      </c>
      <c r="E190" s="43">
        <v>8.5</v>
      </c>
      <c r="F190" s="93">
        <v>4.9729999999999999</v>
      </c>
      <c r="G190" s="46"/>
      <c r="H190" s="48">
        <v>2</v>
      </c>
    </row>
    <row r="191" spans="1:9" ht="20.100000000000001" customHeight="1" thickBot="1" x14ac:dyDescent="0.3">
      <c r="A191" s="1371"/>
      <c r="B191" s="376">
        <v>2015</v>
      </c>
      <c r="C191" s="32">
        <v>3.8</v>
      </c>
      <c r="D191" s="98">
        <v>1.31</v>
      </c>
      <c r="E191" s="43">
        <v>8.5</v>
      </c>
      <c r="F191" s="93">
        <v>5.2220000000000004</v>
      </c>
      <c r="G191" s="46"/>
      <c r="H191" s="48">
        <v>2</v>
      </c>
    </row>
    <row r="192" spans="1:9" ht="20.100000000000001" customHeight="1" thickBot="1" x14ac:dyDescent="0.3">
      <c r="A192" s="1371"/>
      <c r="B192" s="376">
        <v>2016</v>
      </c>
      <c r="C192" s="32">
        <v>4.2</v>
      </c>
      <c r="D192" s="98">
        <v>1.34</v>
      </c>
      <c r="E192" s="43">
        <v>8.5</v>
      </c>
      <c r="F192" s="93">
        <v>5.4829999999999997</v>
      </c>
      <c r="G192" s="46"/>
      <c r="H192" s="48">
        <v>2</v>
      </c>
    </row>
    <row r="193" spans="1:20" ht="20.100000000000001" customHeight="1" thickBot="1" x14ac:dyDescent="0.3">
      <c r="A193" s="1371"/>
      <c r="B193" s="376">
        <v>2017</v>
      </c>
      <c r="C193" s="32">
        <v>4.5999999999999996</v>
      </c>
      <c r="D193" s="98">
        <v>1.37</v>
      </c>
      <c r="E193" s="43">
        <v>8.5</v>
      </c>
      <c r="F193" s="93">
        <v>5.7370000000000001</v>
      </c>
      <c r="G193" s="46"/>
      <c r="H193" s="48">
        <v>2</v>
      </c>
    </row>
    <row r="194" spans="1:20" ht="20.100000000000001" customHeight="1" thickBot="1" x14ac:dyDescent="0.3">
      <c r="A194" s="1371"/>
      <c r="B194" s="376">
        <v>2018</v>
      </c>
      <c r="C194" s="32">
        <v>5</v>
      </c>
      <c r="D194" s="98">
        <v>1.4</v>
      </c>
      <c r="E194" s="43">
        <v>8.5</v>
      </c>
      <c r="F194" s="93">
        <v>6.0449999999999999</v>
      </c>
      <c r="G194" s="46"/>
      <c r="H194" s="48">
        <v>2</v>
      </c>
    </row>
    <row r="195" spans="1:20" ht="20.100000000000001" customHeight="1" thickBot="1" x14ac:dyDescent="0.3">
      <c r="A195" s="549"/>
      <c r="B195" s="2">
        <v>2019</v>
      </c>
      <c r="C195" s="32">
        <v>5</v>
      </c>
      <c r="D195" s="98">
        <v>1.4</v>
      </c>
      <c r="E195" s="43">
        <v>8.5</v>
      </c>
      <c r="F195" s="93">
        <v>5.4409999999999998</v>
      </c>
      <c r="G195" s="738"/>
      <c r="H195" s="48">
        <v>2</v>
      </c>
    </row>
    <row r="196" spans="1:20" ht="20.100000000000001" customHeight="1" thickBot="1" x14ac:dyDescent="0.3">
      <c r="A196" s="549"/>
      <c r="B196" s="2">
        <v>2020</v>
      </c>
      <c r="C196" s="32">
        <v>5</v>
      </c>
      <c r="D196" s="98">
        <v>1.4</v>
      </c>
      <c r="E196" s="43">
        <v>8.5</v>
      </c>
      <c r="F196" s="93">
        <v>5.4409999999999998</v>
      </c>
      <c r="G196" s="738"/>
      <c r="H196" s="48">
        <v>2</v>
      </c>
    </row>
    <row r="197" spans="1:20" ht="20.100000000000001" customHeight="1" thickBot="1" x14ac:dyDescent="0.3">
      <c r="A197" s="549"/>
      <c r="B197" s="2">
        <v>2021</v>
      </c>
      <c r="C197" s="32">
        <v>5</v>
      </c>
      <c r="D197" s="98">
        <v>1.4</v>
      </c>
      <c r="E197" s="43">
        <v>8.5</v>
      </c>
      <c r="F197" s="93">
        <v>5.4409999999999998</v>
      </c>
      <c r="G197" s="738"/>
      <c r="H197" s="48">
        <v>2</v>
      </c>
    </row>
    <row r="198" spans="1:20" ht="20.100000000000001" customHeight="1" thickBot="1" x14ac:dyDescent="0.3">
      <c r="A198" s="549"/>
      <c r="B198" s="2">
        <v>2022</v>
      </c>
      <c r="C198" s="32">
        <v>5</v>
      </c>
      <c r="D198" s="98">
        <v>1.4</v>
      </c>
      <c r="E198" s="43">
        <v>8.5</v>
      </c>
      <c r="F198" s="93">
        <v>5.4409999999999998</v>
      </c>
      <c r="G198" s="738"/>
      <c r="H198" s="48">
        <v>2</v>
      </c>
    </row>
    <row r="199" spans="1:20" ht="20.100000000000001" customHeight="1" thickBot="1" x14ac:dyDescent="0.3">
      <c r="A199" s="549"/>
      <c r="B199" s="2">
        <v>2023</v>
      </c>
      <c r="C199" s="32">
        <v>5</v>
      </c>
      <c r="D199" s="98">
        <v>1.4</v>
      </c>
      <c r="E199" s="43">
        <v>8.5</v>
      </c>
      <c r="F199" s="93">
        <v>5.4409999999999998</v>
      </c>
      <c r="G199" s="738"/>
      <c r="H199" s="48">
        <v>2</v>
      </c>
    </row>
    <row r="200" spans="1:20" ht="20.100000000000001" customHeight="1" thickBot="1" x14ac:dyDescent="0.3">
      <c r="A200" s="549"/>
      <c r="B200" s="2">
        <v>2024</v>
      </c>
      <c r="C200" s="924">
        <v>5</v>
      </c>
      <c r="D200" s="925">
        <v>1.4</v>
      </c>
      <c r="E200" s="926">
        <v>8.5</v>
      </c>
      <c r="F200" s="927">
        <v>5.4409999999999998</v>
      </c>
      <c r="G200" s="738"/>
      <c r="H200" s="919">
        <v>2</v>
      </c>
    </row>
    <row r="201" spans="1:20" ht="20.100000000000001" customHeight="1" x14ac:dyDescent="0.25">
      <c r="A201" s="549"/>
      <c r="B201" s="376"/>
      <c r="C201" s="923">
        <f t="shared" ref="C201" si="14">+(C194-C188)/C188</f>
        <v>0.66666666666666663</v>
      </c>
      <c r="D201" s="913">
        <f t="shared" ref="D201" si="15">+(D194-D188)/D188</f>
        <v>0.12994350282485859</v>
      </c>
      <c r="E201" s="913">
        <f t="shared" ref="E201" si="16">+(E194-E188)/E188</f>
        <v>0</v>
      </c>
      <c r="F201" s="913">
        <f t="shared" ref="F201" si="17">+(F194-F188)/F188</f>
        <v>0.34035476718403551</v>
      </c>
      <c r="G201" s="913"/>
      <c r="H201" s="913">
        <f t="shared" ref="H201" si="18">+(H194-H188)/H188</f>
        <v>0</v>
      </c>
      <c r="I201" s="781" t="s">
        <v>226</v>
      </c>
    </row>
    <row r="202" spans="1:20" ht="19.5" customHeight="1" x14ac:dyDescent="0.25"/>
    <row r="203" spans="1:20" ht="13.8" thickBot="1" x14ac:dyDescent="0.3"/>
    <row r="204" spans="1:20" s="457" customFormat="1" ht="101.25" customHeight="1" thickBot="1" x14ac:dyDescent="0.3">
      <c r="A204" s="459"/>
      <c r="B204" s="470" t="s">
        <v>30</v>
      </c>
      <c r="C204" s="471" t="s">
        <v>0</v>
      </c>
      <c r="D204" s="494" t="s">
        <v>193</v>
      </c>
      <c r="E204" s="472" t="s">
        <v>1</v>
      </c>
      <c r="F204" s="472" t="s">
        <v>2</v>
      </c>
      <c r="G204" s="472" t="s">
        <v>13</v>
      </c>
      <c r="H204" s="472" t="s">
        <v>14</v>
      </c>
      <c r="I204" s="472" t="s">
        <v>10</v>
      </c>
      <c r="J204" s="472" t="s">
        <v>18</v>
      </c>
      <c r="K204" s="881" t="s">
        <v>7</v>
      </c>
      <c r="L204" s="473" t="s">
        <v>8</v>
      </c>
      <c r="M204"/>
      <c r="P204"/>
      <c r="T204"/>
    </row>
    <row r="205" spans="1:20" ht="12.75" customHeight="1" x14ac:dyDescent="0.25">
      <c r="A205" s="1368" t="s">
        <v>218</v>
      </c>
      <c r="B205" s="480" t="s">
        <v>23</v>
      </c>
      <c r="C205" s="929">
        <f>+$C21</f>
        <v>0.2711864406779661</v>
      </c>
      <c r="D205" s="944" t="s">
        <v>223</v>
      </c>
      <c r="E205" s="929">
        <f>+$C$41</f>
        <v>0.49999999999999989</v>
      </c>
      <c r="F205" s="929">
        <f>+$C61</f>
        <v>-0.10000000000000009</v>
      </c>
      <c r="G205" s="929">
        <f>+$C81</f>
        <v>0.37614678899082565</v>
      </c>
      <c r="H205" s="929">
        <f>+$C101</f>
        <v>1.6086956521739126</v>
      </c>
      <c r="I205" s="929">
        <f>+$C141</f>
        <v>3.4117647058823524</v>
      </c>
      <c r="J205" s="944" t="s">
        <v>223</v>
      </c>
      <c r="K205" s="929">
        <f>+($C$180-$C$164)/$C$164</f>
        <v>1.8235294117647058</v>
      </c>
      <c r="L205" s="938">
        <f>+($C$200-$C$184)/$C$184</f>
        <v>2.125</v>
      </c>
    </row>
    <row r="206" spans="1:20" ht="13.8" thickBot="1" x14ac:dyDescent="0.3">
      <c r="A206" s="1369"/>
      <c r="B206" s="481" t="s">
        <v>24</v>
      </c>
      <c r="C206" s="482">
        <f>+$D21</f>
        <v>0.65</v>
      </c>
      <c r="D206" s="482">
        <f>+$D121</f>
        <v>0</v>
      </c>
      <c r="E206" s="482">
        <f>+$D$41</f>
        <v>0.64</v>
      </c>
      <c r="F206" s="482">
        <f>+$D61</f>
        <v>0.64</v>
      </c>
      <c r="G206" s="482">
        <f>+$D81</f>
        <v>0.65</v>
      </c>
      <c r="H206" s="482" t="s">
        <v>223</v>
      </c>
      <c r="I206" s="482">
        <f>+$D141</f>
        <v>0.62962962962962954</v>
      </c>
      <c r="J206" s="482" t="s">
        <v>223</v>
      </c>
      <c r="K206" s="482">
        <f>+($D$180-$D$164)/$D$164</f>
        <v>0.6470588235294118</v>
      </c>
      <c r="L206" s="928">
        <f>+($D$200-$D$184)/$D$184</f>
        <v>0.64705882352941169</v>
      </c>
    </row>
    <row r="207" spans="1:20" ht="26.4" x14ac:dyDescent="0.25">
      <c r="A207" s="1369"/>
      <c r="B207" s="879" t="s">
        <v>27</v>
      </c>
      <c r="C207" s="945">
        <f>+$E21</f>
        <v>2.3188405797101307E-2</v>
      </c>
      <c r="D207" s="945">
        <f t="shared" ref="D207:F207" si="19">+$E21</f>
        <v>2.3188405797101307E-2</v>
      </c>
      <c r="E207" s="945">
        <f t="shared" si="19"/>
        <v>2.3188405797101307E-2</v>
      </c>
      <c r="F207" s="945">
        <f t="shared" si="19"/>
        <v>2.3188405797101307E-2</v>
      </c>
      <c r="G207" s="945">
        <f>+$E81</f>
        <v>2.0123839009287943E-2</v>
      </c>
      <c r="H207" s="946" t="str">
        <f>+$E101</f>
        <v>Nouveau Paramétre</v>
      </c>
      <c r="I207" s="945">
        <f>+$E141</f>
        <v>1.8939393939393895E-2</v>
      </c>
      <c r="J207" s="946" t="str">
        <f>+$E161</f>
        <v>Nouveau Paramétre</v>
      </c>
      <c r="K207" s="483">
        <v>0</v>
      </c>
      <c r="L207" s="484">
        <v>0</v>
      </c>
      <c r="O207" s="739"/>
    </row>
    <row r="208" spans="1:20" ht="26.4" x14ac:dyDescent="0.25">
      <c r="A208" s="1369"/>
      <c r="B208" s="485" t="s">
        <v>26</v>
      </c>
      <c r="C208" s="486">
        <f>+$F21</f>
        <v>0.28000000000000008</v>
      </c>
      <c r="D208" s="486">
        <f>+$F121</f>
        <v>0.27999999999999997</v>
      </c>
      <c r="E208" s="486">
        <f>+$F41</f>
        <v>0.27999999999999997</v>
      </c>
      <c r="F208" s="486">
        <f>+$F61</f>
        <v>0.28499999999999998</v>
      </c>
      <c r="G208" s="486">
        <f>+$F81</f>
        <v>0.28571428571428581</v>
      </c>
      <c r="H208" s="486" t="str">
        <f>+$F101</f>
        <v>Nouveau Paramétre</v>
      </c>
      <c r="I208" s="486">
        <f>+$F141</f>
        <v>0.28099999999999992</v>
      </c>
      <c r="J208" s="486">
        <f>+$F161</f>
        <v>0.34</v>
      </c>
      <c r="K208" s="486">
        <f>$F181</f>
        <v>0.3446265049555442</v>
      </c>
      <c r="L208" s="487">
        <f>+$F201</f>
        <v>0.34035476718403551</v>
      </c>
    </row>
    <row r="209" spans="1:13" x14ac:dyDescent="0.25">
      <c r="A209" s="1369"/>
      <c r="B209" s="488" t="s">
        <v>28</v>
      </c>
      <c r="C209" s="489">
        <f>+$G21</f>
        <v>0.62376237623762321</v>
      </c>
      <c r="D209" s="489" t="s">
        <v>223</v>
      </c>
      <c r="E209" s="489">
        <f>+$G41</f>
        <v>0.62686567164179097</v>
      </c>
      <c r="F209" s="489">
        <f>+$G61</f>
        <v>0.62962962962962954</v>
      </c>
      <c r="G209" s="489">
        <f>+$G81</f>
        <v>0.63675213675213649</v>
      </c>
      <c r="H209" s="489">
        <f>+$G101</f>
        <v>0.62376237623762321</v>
      </c>
      <c r="I209" s="489">
        <f>+$G141</f>
        <v>0.63182897862232767</v>
      </c>
      <c r="J209" s="489">
        <f>+$G161</f>
        <v>-1</v>
      </c>
      <c r="K209" s="489">
        <v>0</v>
      </c>
      <c r="L209" s="490"/>
    </row>
    <row r="210" spans="1:13" ht="13.8" thickBot="1" x14ac:dyDescent="0.3">
      <c r="A210" s="1370"/>
      <c r="B210" s="491" t="s">
        <v>29</v>
      </c>
      <c r="C210" s="492">
        <f>+$H21</f>
        <v>0</v>
      </c>
      <c r="D210" s="492">
        <f>+$H121</f>
        <v>32.333333333333336</v>
      </c>
      <c r="E210" s="492">
        <f>+$H41</f>
        <v>0</v>
      </c>
      <c r="F210" s="492">
        <f>+$H61</f>
        <v>0</v>
      </c>
      <c r="G210" s="492">
        <f>+$H81</f>
        <v>0</v>
      </c>
      <c r="H210" s="492">
        <f>+$H101</f>
        <v>0</v>
      </c>
      <c r="I210" s="492">
        <f>+$H141</f>
        <v>0</v>
      </c>
      <c r="J210" s="492">
        <f>+$H161</f>
        <v>0</v>
      </c>
      <c r="K210" s="492">
        <f>+$H181</f>
        <v>0</v>
      </c>
      <c r="L210" s="493">
        <f>+$H201</f>
        <v>0</v>
      </c>
    </row>
    <row r="211" spans="1:13" ht="26.25" customHeight="1" x14ac:dyDescent="0.25">
      <c r="B211"/>
      <c r="D211" s="858" t="s">
        <v>224</v>
      </c>
      <c r="H211" s="858" t="s">
        <v>225</v>
      </c>
      <c r="J211" s="858" t="s">
        <v>225</v>
      </c>
    </row>
    <row r="212" spans="1:13" ht="13.8" thickBot="1" x14ac:dyDescent="0.3">
      <c r="B212"/>
    </row>
    <row r="213" spans="1:13" ht="13.8" thickBot="1" x14ac:dyDescent="0.3">
      <c r="B213"/>
      <c r="M213" s="740"/>
    </row>
    <row r="214" spans="1:13" ht="93" thickBot="1" x14ac:dyDescent="0.3">
      <c r="A214" s="459"/>
      <c r="B214" s="470" t="s">
        <v>30</v>
      </c>
      <c r="C214" s="472" t="s">
        <v>3</v>
      </c>
      <c r="D214" s="472" t="s">
        <v>4</v>
      </c>
      <c r="E214" s="472" t="s">
        <v>19</v>
      </c>
      <c r="F214" s="472" t="s">
        <v>20</v>
      </c>
      <c r="G214" s="494" t="s">
        <v>152</v>
      </c>
      <c r="H214" s="472" t="s">
        <v>5</v>
      </c>
      <c r="I214" s="473" t="s">
        <v>6</v>
      </c>
    </row>
    <row r="215" spans="1:13" ht="13.8" thickBot="1" x14ac:dyDescent="0.3">
      <c r="A215" s="1368" t="s">
        <v>218</v>
      </c>
      <c r="B215" s="480" t="s">
        <v>23</v>
      </c>
      <c r="C215" s="929">
        <f>+'Graphique pollution 2'!C$20</f>
        <v>0.33333333333333331</v>
      </c>
      <c r="D215" s="929">
        <f>+'Graphique pollution 2'!C$40</f>
        <v>0.2</v>
      </c>
      <c r="E215" s="929">
        <f>+'Graphique pollution 2'!C$60</f>
        <v>0.8633540372670806</v>
      </c>
      <c r="F215" s="929">
        <f>+'Graphique pollution 2'!C$80</f>
        <v>0.2</v>
      </c>
      <c r="G215" s="929">
        <f>+'Graphique pollution 2'!C$140</f>
        <v>0</v>
      </c>
      <c r="H215" s="929">
        <f>+'Graphique pollution 2'!C$100</f>
        <v>1.9661016949152545</v>
      </c>
      <c r="I215" s="938">
        <f>+'Graphique pollution 2'!C$120</f>
        <v>0.69491525423728806</v>
      </c>
    </row>
    <row r="216" spans="1:13" ht="13.8" thickBot="1" x14ac:dyDescent="0.3">
      <c r="A216" s="1369"/>
      <c r="B216" s="930" t="s">
        <v>24</v>
      </c>
      <c r="C216" s="931">
        <f>+'Graphique pollution 2'!D$20</f>
        <v>0.63829787234042568</v>
      </c>
      <c r="D216" s="931">
        <f>+'Graphique pollution 2'!D$40</f>
        <v>0</v>
      </c>
      <c r="E216" s="931">
        <f>+'Graphique pollution 2'!D$60</f>
        <v>0.64444444444444449</v>
      </c>
      <c r="F216" s="931">
        <f>+'Graphique pollution 2'!D$80</f>
        <v>0</v>
      </c>
      <c r="G216" s="931">
        <f>+'Graphique pollution 2'!D$140</f>
        <v>0</v>
      </c>
      <c r="H216" s="931">
        <f>+'Graphique pollution 2'!D$100</f>
        <v>0.87999999999999989</v>
      </c>
      <c r="I216" s="939">
        <f>+'Graphique pollution 2'!D$120</f>
        <v>0</v>
      </c>
    </row>
    <row r="217" spans="1:13" ht="27" thickBot="1" x14ac:dyDescent="0.3">
      <c r="A217" s="1369"/>
      <c r="B217" s="932" t="s">
        <v>27</v>
      </c>
      <c r="C217" s="933">
        <f>+'Graphique pollution 2'!E$20</f>
        <v>8.2251082251082325E-2</v>
      </c>
      <c r="D217" s="933">
        <f>+'Graphique pollution 2'!E$40</f>
        <v>0</v>
      </c>
      <c r="E217" s="933">
        <f>+'Graphique pollution 2'!E$60</f>
        <v>0</v>
      </c>
      <c r="F217" s="933">
        <f>+'Graphique pollution 2'!E$80</f>
        <v>0</v>
      </c>
      <c r="G217" s="933">
        <f>+'Graphique pollution 2'!E$140</f>
        <v>0</v>
      </c>
      <c r="H217" s="934" t="str">
        <f>+'Graphique pollution 2'!E$100</f>
        <v>Nouveau Paramétre</v>
      </c>
      <c r="I217" s="940" t="str">
        <f>+'Graphique pollution 2'!E$120</f>
        <v>Nouveau Paramétre</v>
      </c>
    </row>
    <row r="218" spans="1:13" ht="13.8" thickBot="1" x14ac:dyDescent="0.3">
      <c r="A218" s="1369"/>
      <c r="B218" s="485" t="s">
        <v>26</v>
      </c>
      <c r="C218" s="935">
        <f>+'Graphique pollution 2'!F$20</f>
        <v>0.59699999999999998</v>
      </c>
      <c r="D218" s="935">
        <f>+'Graphique pollution 2'!F$40</f>
        <v>0.59281437125748515</v>
      </c>
      <c r="E218" s="935">
        <f>+'Graphique pollution 2'!F$60</f>
        <v>0.875764705882353</v>
      </c>
      <c r="F218" s="935">
        <f>+'Graphique pollution 2'!F$80</f>
        <v>0.87579393083980228</v>
      </c>
      <c r="G218" s="935">
        <f>+'Graphique pollution 2'!F$140</f>
        <v>0.21034482758620687</v>
      </c>
      <c r="H218" s="935">
        <f>+'Graphique pollution 2'!F$100</f>
        <v>0.92979999999999985</v>
      </c>
      <c r="I218" s="941">
        <f>+'Graphique pollution 2'!F$120</f>
        <v>0.9308192457737321</v>
      </c>
    </row>
    <row r="219" spans="1:13" ht="13.8" thickBot="1" x14ac:dyDescent="0.3">
      <c r="A219" s="1369"/>
      <c r="B219" s="488" t="s">
        <v>28</v>
      </c>
      <c r="C219" s="936">
        <f>+'Graphique pollution 2'!G$20</f>
        <v>0.4757763975155278</v>
      </c>
      <c r="D219" s="936">
        <f>+'Graphique pollution 2'!G$40</f>
        <v>0.2</v>
      </c>
      <c r="E219" s="936">
        <f>+'Graphique pollution 2'!G$60</f>
        <v>0.47577639751552792</v>
      </c>
      <c r="F219" s="936">
        <f>+'Graphique pollution 2'!G$80</f>
        <v>0.2</v>
      </c>
      <c r="G219" s="936">
        <f>+'Graphique pollution 2'!G$140</f>
        <v>0</v>
      </c>
      <c r="H219" s="936">
        <f>+'Graphique pollution 2'!G$100</f>
        <v>0.22975490898667045</v>
      </c>
      <c r="I219" s="942">
        <f>+'Graphique pollution 2'!G$120</f>
        <v>0</v>
      </c>
    </row>
    <row r="220" spans="1:13" ht="13.8" thickBot="1" x14ac:dyDescent="0.3">
      <c r="A220" s="1370"/>
      <c r="B220" s="491" t="s">
        <v>29</v>
      </c>
      <c r="C220" s="937">
        <f>+'Graphique pollution 2'!H$20</f>
        <v>0</v>
      </c>
      <c r="D220" s="937">
        <f>+'Graphique pollution 2'!H$40</f>
        <v>0</v>
      </c>
      <c r="E220" s="937">
        <f>+'Graphique pollution 2'!H$60</f>
        <v>0</v>
      </c>
      <c r="F220" s="937">
        <f>+'Graphique pollution 2'!H$80</f>
        <v>0</v>
      </c>
      <c r="G220" s="937">
        <f>+'Graphique pollution 2'!H$140</f>
        <v>3</v>
      </c>
      <c r="H220" s="937">
        <f>+'Graphique pollution 2'!H$100</f>
        <v>0</v>
      </c>
      <c r="I220" s="943">
        <f>+'Graphique pollution 2'!H$120</f>
        <v>0</v>
      </c>
    </row>
    <row r="221" spans="1:13" ht="26.4" x14ac:dyDescent="0.25">
      <c r="F221" s="858" t="s">
        <v>224</v>
      </c>
      <c r="G221" s="858" t="s">
        <v>228</v>
      </c>
      <c r="H221" s="858"/>
      <c r="I221" s="858" t="s">
        <v>224</v>
      </c>
    </row>
  </sheetData>
  <mergeCells count="12">
    <mergeCell ref="A215:A220"/>
    <mergeCell ref="A123:A134"/>
    <mergeCell ref="A103:A114"/>
    <mergeCell ref="A163:A174"/>
    <mergeCell ref="A183:A194"/>
    <mergeCell ref="A144:A154"/>
    <mergeCell ref="A205:A210"/>
    <mergeCell ref="A83:A94"/>
    <mergeCell ref="A24:A40"/>
    <mergeCell ref="A4:A20"/>
    <mergeCell ref="A43:A61"/>
    <mergeCell ref="A63:A80"/>
  </mergeCells>
  <pageMargins left="0.7" right="0.7" top="0.75" bottom="0.75" header="0.3" footer="0.3"/>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50"/>
  <sheetViews>
    <sheetView showZeros="0" topLeftCell="A23" zoomScale="85" zoomScaleNormal="85" workbookViewId="0">
      <selection activeCell="S160" sqref="S160"/>
    </sheetView>
  </sheetViews>
  <sheetFormatPr baseColWidth="10" defaultColWidth="11.44140625" defaultRowHeight="13.2" x14ac:dyDescent="0.25"/>
  <cols>
    <col min="1" max="1" width="19.33203125" style="457" customWidth="1"/>
    <col min="2" max="2" width="11.44140625" style="455"/>
    <col min="3" max="8" width="11.44140625" style="458"/>
    <col min="9" max="16384" width="11.44140625" style="3"/>
  </cols>
  <sheetData>
    <row r="1" spans="1:9" s="1" customFormat="1" ht="41.25" customHeight="1" thickBot="1" x14ac:dyDescent="0.3">
      <c r="A1" s="548" t="s">
        <v>191</v>
      </c>
      <c r="B1" s="548"/>
      <c r="C1" s="548"/>
      <c r="D1" s="548"/>
      <c r="E1" s="548"/>
      <c r="F1" s="548"/>
      <c r="G1" s="548"/>
      <c r="H1" s="548"/>
      <c r="I1" s="548"/>
    </row>
    <row r="2" spans="1:9" s="2" customFormat="1" ht="20.100000000000001" customHeight="1" thickBot="1" x14ac:dyDescent="0.3">
      <c r="A2" s="456"/>
      <c r="B2" s="455"/>
      <c r="C2" s="497" t="s">
        <v>23</v>
      </c>
      <c r="D2" s="497" t="s">
        <v>24</v>
      </c>
      <c r="E2" s="497" t="s">
        <v>27</v>
      </c>
      <c r="F2" s="497" t="s">
        <v>26</v>
      </c>
      <c r="G2" s="497" t="s">
        <v>28</v>
      </c>
      <c r="H2" s="497" t="s">
        <v>29</v>
      </c>
    </row>
    <row r="3" spans="1:9" s="8" customFormat="1" ht="20.100000000000001" customHeight="1" thickBot="1" x14ac:dyDescent="0.3">
      <c r="A3" s="1372" t="s">
        <v>3</v>
      </c>
      <c r="B3" s="455">
        <v>2008</v>
      </c>
      <c r="C3" s="532">
        <v>2.25</v>
      </c>
      <c r="D3" s="518">
        <v>0.47</v>
      </c>
      <c r="E3" s="533">
        <v>1.3859999999999999</v>
      </c>
      <c r="F3" s="534">
        <v>2</v>
      </c>
      <c r="G3" s="535">
        <v>1.61</v>
      </c>
      <c r="H3" s="516">
        <v>2.2000000000000002</v>
      </c>
    </row>
    <row r="4" spans="1:9" s="8" customFormat="1" ht="20.100000000000001" customHeight="1" thickBot="1" x14ac:dyDescent="0.3">
      <c r="A4" s="1372"/>
      <c r="B4" s="455">
        <v>2009</v>
      </c>
      <c r="C4" s="532">
        <v>2.25</v>
      </c>
      <c r="D4" s="518">
        <v>0.48399999999999999</v>
      </c>
      <c r="E4" s="533">
        <v>1.4139999999999999</v>
      </c>
      <c r="F4" s="534">
        <v>2.1</v>
      </c>
      <c r="G4" s="535">
        <v>1.61</v>
      </c>
      <c r="H4" s="516">
        <v>2.2000000000000002</v>
      </c>
    </row>
    <row r="5" spans="1:9" s="1" customFormat="1" ht="20.100000000000001" customHeight="1" thickBot="1" x14ac:dyDescent="0.3">
      <c r="A5" s="1372"/>
      <c r="B5" s="455">
        <v>2010</v>
      </c>
      <c r="C5" s="532">
        <v>2.25</v>
      </c>
      <c r="D5" s="518">
        <v>0.54400000000000004</v>
      </c>
      <c r="E5" s="533">
        <v>1.4419999999999999</v>
      </c>
      <c r="F5" s="534">
        <v>2.1</v>
      </c>
      <c r="G5" s="535">
        <v>1.6419999999999999</v>
      </c>
      <c r="H5" s="516">
        <v>2.2000000000000002</v>
      </c>
    </row>
    <row r="6" spans="1:9" s="1" customFormat="1" ht="20.100000000000001" customHeight="1" thickBot="1" x14ac:dyDescent="0.3">
      <c r="A6" s="1372"/>
      <c r="B6" s="455">
        <v>2011</v>
      </c>
      <c r="C6" s="532">
        <v>2.25</v>
      </c>
      <c r="D6" s="518">
        <v>0.61099999999999999</v>
      </c>
      <c r="E6" s="533">
        <v>1.4710000000000001</v>
      </c>
      <c r="F6" s="534">
        <v>2.2000000000000002</v>
      </c>
      <c r="G6" s="535">
        <v>1.6419999999999999</v>
      </c>
      <c r="H6" s="516">
        <v>2.2000000000000002</v>
      </c>
    </row>
    <row r="7" spans="1:9" ht="20.100000000000001" customHeight="1" thickBot="1" x14ac:dyDescent="0.3">
      <c r="A7" s="1372"/>
      <c r="B7" s="455">
        <v>2012</v>
      </c>
      <c r="C7" s="532">
        <v>2.25</v>
      </c>
      <c r="D7" s="518">
        <v>0.68500000000000005</v>
      </c>
      <c r="E7" s="536">
        <v>1.5</v>
      </c>
      <c r="F7" s="534">
        <v>2.2999999999999998</v>
      </c>
      <c r="G7" s="535">
        <v>1.6419999999999999</v>
      </c>
      <c r="H7" s="516">
        <v>2.2000000000000002</v>
      </c>
    </row>
    <row r="8" spans="1:9" s="1" customFormat="1" ht="20.100000000000001" customHeight="1" thickBot="1" x14ac:dyDescent="0.3">
      <c r="A8" s="1372"/>
      <c r="B8" s="455">
        <v>2013</v>
      </c>
      <c r="C8" s="517">
        <v>3</v>
      </c>
      <c r="D8" s="518">
        <v>0.7</v>
      </c>
      <c r="E8" s="536">
        <v>1.5</v>
      </c>
      <c r="F8" s="512">
        <v>2.4729999999999999</v>
      </c>
      <c r="G8" s="535">
        <v>1.7887999999999999</v>
      </c>
      <c r="H8" s="516">
        <v>2.2000000000000002</v>
      </c>
    </row>
    <row r="9" spans="1:9" s="1" customFormat="1" ht="20.100000000000001" customHeight="1" thickBot="1" x14ac:dyDescent="0.3">
      <c r="A9" s="1372"/>
      <c r="B9" s="455">
        <v>2014</v>
      </c>
      <c r="C9" s="517">
        <v>3</v>
      </c>
      <c r="D9" s="518">
        <v>0.71</v>
      </c>
      <c r="E9" s="536">
        <v>1.5</v>
      </c>
      <c r="F9" s="512">
        <v>2.6579999999999999</v>
      </c>
      <c r="G9" s="535">
        <v>1.9356</v>
      </c>
      <c r="H9" s="516">
        <v>2.2000000000000002</v>
      </c>
    </row>
    <row r="10" spans="1:9" s="7" customFormat="1" ht="20.100000000000001" customHeight="1" thickBot="1" x14ac:dyDescent="0.3">
      <c r="A10" s="1372"/>
      <c r="B10" s="455">
        <v>2015</v>
      </c>
      <c r="C10" s="517">
        <v>3</v>
      </c>
      <c r="D10" s="518">
        <v>0.73</v>
      </c>
      <c r="E10" s="536">
        <v>1.5</v>
      </c>
      <c r="F10" s="512">
        <v>2.8570000000000002</v>
      </c>
      <c r="G10" s="535">
        <v>2.0823999999999998</v>
      </c>
      <c r="H10" s="516">
        <v>2.2000000000000002</v>
      </c>
    </row>
    <row r="11" spans="1:9" ht="20.100000000000001" customHeight="1" thickBot="1" x14ac:dyDescent="0.3">
      <c r="A11" s="1372"/>
      <c r="B11" s="455">
        <v>2016</v>
      </c>
      <c r="C11" s="517">
        <v>3</v>
      </c>
      <c r="D11" s="518">
        <v>0.74</v>
      </c>
      <c r="E11" s="536">
        <v>1.5</v>
      </c>
      <c r="F11" s="512">
        <v>3.0710000000000002</v>
      </c>
      <c r="G11" s="535">
        <v>2.2292000000000001</v>
      </c>
      <c r="H11" s="516">
        <v>2.2000000000000002</v>
      </c>
    </row>
    <row r="12" spans="1:9" s="1" customFormat="1" ht="20.100000000000001" customHeight="1" thickBot="1" x14ac:dyDescent="0.3">
      <c r="A12" s="1372"/>
      <c r="B12" s="455">
        <v>2017</v>
      </c>
      <c r="C12" s="517">
        <v>3</v>
      </c>
      <c r="D12" s="518">
        <v>0.76</v>
      </c>
      <c r="E12" s="536">
        <v>1.5</v>
      </c>
      <c r="F12" s="512">
        <v>3.3010000000000002</v>
      </c>
      <c r="G12" s="535">
        <v>2.3759999999999999</v>
      </c>
      <c r="H12" s="516">
        <v>2.2000000000000002</v>
      </c>
    </row>
    <row r="13" spans="1:9" ht="20.100000000000001" customHeight="1" thickBot="1" x14ac:dyDescent="0.3">
      <c r="A13" s="1372"/>
      <c r="B13" s="455">
        <v>2018</v>
      </c>
      <c r="C13" s="517">
        <v>3</v>
      </c>
      <c r="D13" s="518">
        <v>0.77</v>
      </c>
      <c r="E13" s="536">
        <v>1.5</v>
      </c>
      <c r="F13" s="512">
        <v>3.5489999999999999</v>
      </c>
      <c r="G13" s="535">
        <v>2.3759999999999999</v>
      </c>
      <c r="H13" s="516">
        <v>2.2000000000000002</v>
      </c>
    </row>
    <row r="14" spans="1:9" ht="20.100000000000001" customHeight="1" thickBot="1" x14ac:dyDescent="0.3">
      <c r="A14" s="498"/>
      <c r="B14" s="455">
        <v>2019</v>
      </c>
      <c r="C14" s="517">
        <v>3</v>
      </c>
      <c r="D14" s="518">
        <v>0.77</v>
      </c>
      <c r="E14" s="536">
        <v>1.5</v>
      </c>
      <c r="F14" s="512">
        <v>3.194</v>
      </c>
      <c r="G14" s="535">
        <v>2.3759999999999999</v>
      </c>
      <c r="H14" s="516">
        <v>2.2000000000000002</v>
      </c>
    </row>
    <row r="15" spans="1:9" ht="20.100000000000001" customHeight="1" thickBot="1" x14ac:dyDescent="0.3">
      <c r="A15" s="498"/>
      <c r="B15" s="455">
        <v>2020</v>
      </c>
      <c r="C15" s="517">
        <v>3</v>
      </c>
      <c r="D15" s="518">
        <v>0.77</v>
      </c>
      <c r="E15" s="536">
        <v>1.5</v>
      </c>
      <c r="F15" s="512">
        <v>3.194</v>
      </c>
      <c r="G15" s="535">
        <v>2.3759999999999999</v>
      </c>
      <c r="H15" s="516">
        <v>2.2000000000000002</v>
      </c>
    </row>
    <row r="16" spans="1:9" ht="20.100000000000001" customHeight="1" thickBot="1" x14ac:dyDescent="0.3">
      <c r="A16" s="498"/>
      <c r="B16" s="455">
        <v>2021</v>
      </c>
      <c r="C16" s="517">
        <v>3</v>
      </c>
      <c r="D16" s="518">
        <v>0.77</v>
      </c>
      <c r="E16" s="536">
        <v>1.5</v>
      </c>
      <c r="F16" s="512">
        <v>3.194</v>
      </c>
      <c r="G16" s="535">
        <v>2.3759999999999999</v>
      </c>
      <c r="H16" s="516">
        <v>2.2000000000000002</v>
      </c>
    </row>
    <row r="17" spans="1:9" ht="20.100000000000001" customHeight="1" thickBot="1" x14ac:dyDescent="0.3">
      <c r="A17" s="498"/>
      <c r="B17" s="455">
        <v>2022</v>
      </c>
      <c r="C17" s="517">
        <v>3</v>
      </c>
      <c r="D17" s="518">
        <v>0.77</v>
      </c>
      <c r="E17" s="536">
        <v>1.5</v>
      </c>
      <c r="F17" s="512">
        <v>3.194</v>
      </c>
      <c r="G17" s="535">
        <v>2.3759999999999999</v>
      </c>
      <c r="H17" s="516">
        <v>2.2000000000000002</v>
      </c>
    </row>
    <row r="18" spans="1:9" ht="20.100000000000001" customHeight="1" thickBot="1" x14ac:dyDescent="0.3">
      <c r="A18" s="498"/>
      <c r="B18" s="455">
        <v>2023</v>
      </c>
      <c r="C18" s="517">
        <v>3</v>
      </c>
      <c r="D18" s="518">
        <v>0.77</v>
      </c>
      <c r="E18" s="536">
        <v>1.5</v>
      </c>
      <c r="F18" s="512">
        <v>3.194</v>
      </c>
      <c r="G18" s="535">
        <v>2.3759999999999999</v>
      </c>
      <c r="H18" s="516">
        <v>2.2000000000000002</v>
      </c>
    </row>
    <row r="19" spans="1:9" ht="20.100000000000001" customHeight="1" thickBot="1" x14ac:dyDescent="0.3">
      <c r="A19" s="498"/>
      <c r="B19" s="455">
        <v>2024</v>
      </c>
      <c r="C19" s="517">
        <v>3</v>
      </c>
      <c r="D19" s="518">
        <v>0.77</v>
      </c>
      <c r="E19" s="536">
        <v>1.5</v>
      </c>
      <c r="F19" s="512">
        <v>3.194</v>
      </c>
      <c r="G19" s="535">
        <v>2.3759999999999999</v>
      </c>
      <c r="H19" s="516">
        <v>2.2000000000000002</v>
      </c>
    </row>
    <row r="20" spans="1:9" ht="20.100000000000001" customHeight="1" x14ac:dyDescent="0.25">
      <c r="A20" s="498"/>
      <c r="C20" s="913">
        <f>+(C19-C$3)/C$3</f>
        <v>0.33333333333333331</v>
      </c>
      <c r="D20" s="913">
        <f t="shared" ref="D20:H20" si="0">+(D19-D$3)/D$3</f>
        <v>0.63829787234042568</v>
      </c>
      <c r="E20" s="913">
        <f t="shared" si="0"/>
        <v>8.2251082251082325E-2</v>
      </c>
      <c r="F20" s="913">
        <f t="shared" si="0"/>
        <v>0.59699999999999998</v>
      </c>
      <c r="G20" s="913">
        <f t="shared" si="0"/>
        <v>0.4757763975155278</v>
      </c>
      <c r="H20" s="913">
        <f t="shared" si="0"/>
        <v>0</v>
      </c>
      <c r="I20" s="781" t="s">
        <v>226</v>
      </c>
    </row>
    <row r="21" spans="1:9" ht="20.100000000000001" customHeight="1" thickBot="1" x14ac:dyDescent="0.3">
      <c r="A21" s="498"/>
      <c r="C21" s="460"/>
      <c r="D21" s="460"/>
      <c r="E21" s="460"/>
      <c r="F21" s="460"/>
      <c r="G21" s="460"/>
      <c r="H21" s="914"/>
    </row>
    <row r="22" spans="1:9" ht="20.100000000000001" customHeight="1" thickBot="1" x14ac:dyDescent="0.3">
      <c r="B22" s="502"/>
      <c r="C22" s="501" t="s">
        <v>23</v>
      </c>
      <c r="D22" s="499" t="s">
        <v>24</v>
      </c>
      <c r="E22" s="499" t="s">
        <v>27</v>
      </c>
      <c r="F22" s="499" t="s">
        <v>26</v>
      </c>
      <c r="G22" s="499" t="s">
        <v>28</v>
      </c>
      <c r="H22" s="500" t="s">
        <v>29</v>
      </c>
    </row>
    <row r="23" spans="1:9" s="1" customFormat="1" ht="20.100000000000001" customHeight="1" thickBot="1" x14ac:dyDescent="0.3">
      <c r="A23" s="1372" t="s">
        <v>4</v>
      </c>
      <c r="B23" s="502">
        <v>2008</v>
      </c>
      <c r="C23" s="517">
        <v>5</v>
      </c>
      <c r="D23" s="537"/>
      <c r="E23" s="510">
        <v>5</v>
      </c>
      <c r="F23" s="512">
        <v>3.34</v>
      </c>
      <c r="G23" s="514">
        <v>5</v>
      </c>
      <c r="H23" s="516">
        <v>3.7</v>
      </c>
    </row>
    <row r="24" spans="1:9" s="1" customFormat="1" ht="20.100000000000001" customHeight="1" thickBot="1" x14ac:dyDescent="0.3">
      <c r="A24" s="1372"/>
      <c r="B24" s="502">
        <v>2009</v>
      </c>
      <c r="C24" s="517">
        <v>5</v>
      </c>
      <c r="D24" s="537"/>
      <c r="E24" s="510">
        <v>5</v>
      </c>
      <c r="F24" s="512">
        <v>3.5</v>
      </c>
      <c r="G24" s="514">
        <v>5</v>
      </c>
      <c r="H24" s="516">
        <v>3.7</v>
      </c>
    </row>
    <row r="25" spans="1:9" s="1" customFormat="1" ht="20.100000000000001" customHeight="1" thickBot="1" x14ac:dyDescent="0.3">
      <c r="A25" s="1372"/>
      <c r="B25" s="502">
        <v>2010</v>
      </c>
      <c r="C25" s="517">
        <v>5</v>
      </c>
      <c r="D25" s="537"/>
      <c r="E25" s="510">
        <v>5</v>
      </c>
      <c r="F25" s="512">
        <v>3.5</v>
      </c>
      <c r="G25" s="514">
        <v>5</v>
      </c>
      <c r="H25" s="516">
        <v>3.7</v>
      </c>
    </row>
    <row r="26" spans="1:9" s="1" customFormat="1" ht="20.100000000000001" customHeight="1" thickBot="1" x14ac:dyDescent="0.3">
      <c r="A26" s="1372"/>
      <c r="B26" s="502">
        <v>2011</v>
      </c>
      <c r="C26" s="517">
        <v>5</v>
      </c>
      <c r="D26" s="537"/>
      <c r="E26" s="510">
        <v>5</v>
      </c>
      <c r="F26" s="512">
        <v>3.67</v>
      </c>
      <c r="G26" s="514">
        <v>5</v>
      </c>
      <c r="H26" s="516">
        <v>3.7</v>
      </c>
    </row>
    <row r="27" spans="1:9" s="8" customFormat="1" ht="20.100000000000001" customHeight="1" thickBot="1" x14ac:dyDescent="0.3">
      <c r="A27" s="1372"/>
      <c r="B27" s="502">
        <v>2012</v>
      </c>
      <c r="C27" s="517">
        <v>5</v>
      </c>
      <c r="D27" s="537"/>
      <c r="E27" s="510">
        <v>5</v>
      </c>
      <c r="F27" s="512">
        <v>3.83</v>
      </c>
      <c r="G27" s="514">
        <v>5</v>
      </c>
      <c r="H27" s="516">
        <v>3.7</v>
      </c>
    </row>
    <row r="28" spans="1:9" s="8" customFormat="1" ht="20.100000000000001" customHeight="1" thickBot="1" x14ac:dyDescent="0.3">
      <c r="A28" s="1372"/>
      <c r="B28" s="502">
        <v>2013</v>
      </c>
      <c r="C28" s="517">
        <v>5</v>
      </c>
      <c r="D28" s="537">
        <v>6</v>
      </c>
      <c r="E28" s="510">
        <v>5</v>
      </c>
      <c r="F28" s="512">
        <v>4.117</v>
      </c>
      <c r="G28" s="514">
        <v>6</v>
      </c>
      <c r="H28" s="516">
        <v>3.7</v>
      </c>
    </row>
    <row r="29" spans="1:9" ht="20.100000000000001" customHeight="1" thickBot="1" x14ac:dyDescent="0.3">
      <c r="A29" s="1372"/>
      <c r="B29" s="502">
        <v>2014</v>
      </c>
      <c r="C29" s="517">
        <v>5.2</v>
      </c>
      <c r="D29" s="537">
        <v>6</v>
      </c>
      <c r="E29" s="510">
        <v>5</v>
      </c>
      <c r="F29" s="512">
        <v>4.4260000000000002</v>
      </c>
      <c r="G29" s="514">
        <v>6</v>
      </c>
      <c r="H29" s="516">
        <v>3.7</v>
      </c>
    </row>
    <row r="30" spans="1:9" ht="20.100000000000001" customHeight="1" thickBot="1" x14ac:dyDescent="0.3">
      <c r="A30" s="1372"/>
      <c r="B30" s="502">
        <v>2015</v>
      </c>
      <c r="C30" s="517">
        <v>5.4</v>
      </c>
      <c r="D30" s="537">
        <v>6</v>
      </c>
      <c r="E30" s="510">
        <v>5</v>
      </c>
      <c r="F30" s="512">
        <v>4.758</v>
      </c>
      <c r="G30" s="514">
        <v>6</v>
      </c>
      <c r="H30" s="516">
        <v>3.7</v>
      </c>
    </row>
    <row r="31" spans="1:9" ht="20.100000000000001" customHeight="1" thickBot="1" x14ac:dyDescent="0.3">
      <c r="A31" s="1372"/>
      <c r="B31" s="502">
        <v>2016</v>
      </c>
      <c r="C31" s="517">
        <v>5.6</v>
      </c>
      <c r="D31" s="537">
        <v>6</v>
      </c>
      <c r="E31" s="510">
        <v>5</v>
      </c>
      <c r="F31" s="512">
        <v>5.1150000000000002</v>
      </c>
      <c r="G31" s="514">
        <v>6</v>
      </c>
      <c r="H31" s="516">
        <v>3.7</v>
      </c>
    </row>
    <row r="32" spans="1:9" ht="20.100000000000001" customHeight="1" thickBot="1" x14ac:dyDescent="0.3">
      <c r="A32" s="1372"/>
      <c r="B32" s="502">
        <v>2017</v>
      </c>
      <c r="C32" s="517">
        <v>5.6</v>
      </c>
      <c r="D32" s="537">
        <v>6</v>
      </c>
      <c r="E32" s="510">
        <v>5</v>
      </c>
      <c r="F32" s="512">
        <v>5.4989999999999997</v>
      </c>
      <c r="G32" s="514">
        <v>6</v>
      </c>
      <c r="H32" s="516">
        <v>3.7</v>
      </c>
    </row>
    <row r="33" spans="1:9" ht="20.100000000000001" customHeight="1" thickBot="1" x14ac:dyDescent="0.3">
      <c r="A33" s="1372"/>
      <c r="B33" s="502">
        <v>2018</v>
      </c>
      <c r="C33" s="503">
        <v>6</v>
      </c>
      <c r="D33" s="508">
        <v>6</v>
      </c>
      <c r="E33" s="509">
        <v>5</v>
      </c>
      <c r="F33" s="512">
        <v>5.9109999999999996</v>
      </c>
      <c r="G33" s="513">
        <v>6</v>
      </c>
      <c r="H33" s="515">
        <v>3.7</v>
      </c>
    </row>
    <row r="34" spans="1:9" ht="20.100000000000001" customHeight="1" thickBot="1" x14ac:dyDescent="0.3">
      <c r="A34" s="498"/>
      <c r="B34" s="455">
        <v>2019</v>
      </c>
      <c r="C34" s="503">
        <v>6</v>
      </c>
      <c r="D34" s="508">
        <v>6</v>
      </c>
      <c r="E34" s="509">
        <v>5</v>
      </c>
      <c r="F34" s="512">
        <v>5.32</v>
      </c>
      <c r="G34" s="513">
        <v>6</v>
      </c>
      <c r="H34" s="515">
        <v>3.7</v>
      </c>
    </row>
    <row r="35" spans="1:9" ht="20.100000000000001" customHeight="1" thickBot="1" x14ac:dyDescent="0.3">
      <c r="A35" s="498"/>
      <c r="B35" s="455">
        <v>2020</v>
      </c>
      <c r="C35" s="503">
        <v>6</v>
      </c>
      <c r="D35" s="508">
        <v>6</v>
      </c>
      <c r="E35" s="509">
        <v>5</v>
      </c>
      <c r="F35" s="512">
        <v>5.32</v>
      </c>
      <c r="G35" s="513">
        <v>6</v>
      </c>
      <c r="H35" s="515">
        <v>3.7</v>
      </c>
    </row>
    <row r="36" spans="1:9" ht="20.100000000000001" customHeight="1" thickBot="1" x14ac:dyDescent="0.3">
      <c r="A36" s="498"/>
      <c r="B36" s="455">
        <v>2021</v>
      </c>
      <c r="C36" s="503">
        <v>6</v>
      </c>
      <c r="D36" s="508">
        <v>6</v>
      </c>
      <c r="E36" s="509">
        <v>5</v>
      </c>
      <c r="F36" s="512">
        <v>5.32</v>
      </c>
      <c r="G36" s="513">
        <v>6</v>
      </c>
      <c r="H36" s="515">
        <v>3.7</v>
      </c>
    </row>
    <row r="37" spans="1:9" ht="20.100000000000001" customHeight="1" thickBot="1" x14ac:dyDescent="0.3">
      <c r="A37" s="498"/>
      <c r="B37" s="455">
        <v>2022</v>
      </c>
      <c r="C37" s="503">
        <v>6</v>
      </c>
      <c r="D37" s="508">
        <v>6</v>
      </c>
      <c r="E37" s="509">
        <v>5</v>
      </c>
      <c r="F37" s="512">
        <v>5.32</v>
      </c>
      <c r="G37" s="513">
        <v>6</v>
      </c>
      <c r="H37" s="515">
        <v>3.7</v>
      </c>
    </row>
    <row r="38" spans="1:9" ht="20.100000000000001" customHeight="1" thickBot="1" x14ac:dyDescent="0.3">
      <c r="A38" s="498"/>
      <c r="B38" s="455">
        <v>2023</v>
      </c>
      <c r="C38" s="503">
        <v>6</v>
      </c>
      <c r="D38" s="508">
        <v>6</v>
      </c>
      <c r="E38" s="509">
        <v>5</v>
      </c>
      <c r="F38" s="512">
        <v>5.32</v>
      </c>
      <c r="G38" s="513">
        <v>6</v>
      </c>
      <c r="H38" s="515">
        <v>3.7</v>
      </c>
    </row>
    <row r="39" spans="1:9" ht="20.100000000000001" customHeight="1" thickBot="1" x14ac:dyDescent="0.3">
      <c r="A39" s="498"/>
      <c r="B39" s="455">
        <v>2024</v>
      </c>
      <c r="C39" s="503">
        <v>6</v>
      </c>
      <c r="D39" s="508">
        <v>6</v>
      </c>
      <c r="E39" s="509">
        <v>5</v>
      </c>
      <c r="F39" s="512">
        <v>5.32</v>
      </c>
      <c r="G39" s="513">
        <v>6</v>
      </c>
      <c r="H39" s="515">
        <v>3.7</v>
      </c>
    </row>
    <row r="40" spans="1:9" ht="20.100000000000001" customHeight="1" x14ac:dyDescent="0.25">
      <c r="A40" s="498"/>
      <c r="C40" s="913">
        <f>+(C39-C23)/C23</f>
        <v>0.2</v>
      </c>
      <c r="D40" s="913">
        <f>+(D39-D28)/D28</f>
        <v>0</v>
      </c>
      <c r="E40" s="913">
        <f t="shared" ref="E40:H40" si="1">+(E39-E23)/E23</f>
        <v>0</v>
      </c>
      <c r="F40" s="913">
        <f t="shared" si="1"/>
        <v>0.59281437125748515</v>
      </c>
      <c r="G40" s="913">
        <f t="shared" si="1"/>
        <v>0.2</v>
      </c>
      <c r="H40" s="913">
        <f t="shared" si="1"/>
        <v>0</v>
      </c>
      <c r="I40" s="781" t="s">
        <v>226</v>
      </c>
    </row>
    <row r="41" spans="1:9" ht="20.100000000000001" customHeight="1" thickBot="1" x14ac:dyDescent="0.3">
      <c r="A41" s="498"/>
      <c r="C41" s="504"/>
      <c r="D41" s="504"/>
      <c r="E41" s="504"/>
      <c r="F41" s="460"/>
      <c r="G41" s="504"/>
      <c r="H41" s="504"/>
    </row>
    <row r="42" spans="1:9" ht="20.100000000000001" customHeight="1" thickBot="1" x14ac:dyDescent="0.3">
      <c r="C42" s="501" t="s">
        <v>23</v>
      </c>
      <c r="D42" s="499" t="s">
        <v>24</v>
      </c>
      <c r="E42" s="499" t="s">
        <v>27</v>
      </c>
      <c r="F42" s="499" t="s">
        <v>26</v>
      </c>
      <c r="G42" s="499" t="s">
        <v>28</v>
      </c>
      <c r="H42" s="500" t="s">
        <v>29</v>
      </c>
    </row>
    <row r="43" spans="1:9" ht="20.100000000000001" customHeight="1" thickBot="1" x14ac:dyDescent="0.3">
      <c r="A43" s="1372" t="s">
        <v>19</v>
      </c>
      <c r="B43" s="455">
        <v>2008</v>
      </c>
      <c r="C43" s="538">
        <v>8.0500000000000007</v>
      </c>
      <c r="D43" s="518">
        <v>4.5</v>
      </c>
      <c r="E43" s="510">
        <v>15</v>
      </c>
      <c r="F43" s="539">
        <v>8.5</v>
      </c>
      <c r="G43" s="540">
        <v>8.0500000000000007</v>
      </c>
      <c r="H43" s="516">
        <v>12</v>
      </c>
    </row>
    <row r="44" spans="1:9" ht="20.100000000000001" customHeight="1" thickBot="1" x14ac:dyDescent="0.3">
      <c r="A44" s="1374"/>
      <c r="B44" s="455">
        <v>2009</v>
      </c>
      <c r="C44" s="538">
        <v>8.94</v>
      </c>
      <c r="D44" s="518">
        <v>4.6349999999999998</v>
      </c>
      <c r="E44" s="510">
        <v>15</v>
      </c>
      <c r="F44" s="534">
        <v>9</v>
      </c>
      <c r="G44" s="540">
        <v>8.0500000000000007</v>
      </c>
      <c r="H44" s="516">
        <v>12</v>
      </c>
    </row>
    <row r="45" spans="1:9" ht="20.100000000000001" customHeight="1" thickBot="1" x14ac:dyDescent="0.3">
      <c r="A45" s="1374"/>
      <c r="B45" s="455">
        <v>2010</v>
      </c>
      <c r="C45" s="538">
        <v>8.94</v>
      </c>
      <c r="D45" s="518">
        <v>5.2039999999999997</v>
      </c>
      <c r="E45" s="510">
        <v>15</v>
      </c>
      <c r="F45" s="534">
        <v>9</v>
      </c>
      <c r="G45" s="541">
        <v>8.2110000000000003</v>
      </c>
      <c r="H45" s="516">
        <v>12</v>
      </c>
    </row>
    <row r="46" spans="1:9" s="7" customFormat="1" ht="20.100000000000001" customHeight="1" thickBot="1" x14ac:dyDescent="0.3">
      <c r="A46" s="1374"/>
      <c r="B46" s="455">
        <v>2011</v>
      </c>
      <c r="C46" s="538">
        <v>9.92</v>
      </c>
      <c r="D46" s="518">
        <v>5.8419999999999996</v>
      </c>
      <c r="E46" s="510">
        <v>15</v>
      </c>
      <c r="F46" s="539">
        <v>9.5</v>
      </c>
      <c r="G46" s="541">
        <v>8.2110000000000003</v>
      </c>
      <c r="H46" s="516">
        <v>12</v>
      </c>
    </row>
    <row r="47" spans="1:9" ht="20.100000000000001" customHeight="1" thickBot="1" x14ac:dyDescent="0.3">
      <c r="A47" s="1374"/>
      <c r="B47" s="455">
        <v>2012</v>
      </c>
      <c r="C47" s="538">
        <v>9.92</v>
      </c>
      <c r="D47" s="518">
        <v>6.5590000000000002</v>
      </c>
      <c r="E47" s="510">
        <v>15</v>
      </c>
      <c r="F47" s="534">
        <v>10</v>
      </c>
      <c r="G47" s="541">
        <v>8.2110000000000003</v>
      </c>
      <c r="H47" s="516">
        <v>12</v>
      </c>
    </row>
    <row r="48" spans="1:9" ht="20.100000000000001" customHeight="1" thickBot="1" x14ac:dyDescent="0.3">
      <c r="A48" s="1374"/>
      <c r="B48" s="455">
        <v>2013</v>
      </c>
      <c r="C48" s="538">
        <v>10</v>
      </c>
      <c r="D48" s="542">
        <v>6.7</v>
      </c>
      <c r="E48" s="510">
        <v>15</v>
      </c>
      <c r="F48" s="534">
        <v>11</v>
      </c>
      <c r="G48" s="541">
        <v>8.9448000000000008</v>
      </c>
      <c r="H48" s="516">
        <v>12</v>
      </c>
    </row>
    <row r="49" spans="1:9" ht="20.100000000000001" customHeight="1" thickBot="1" x14ac:dyDescent="0.3">
      <c r="A49" s="1374"/>
      <c r="B49" s="455">
        <v>2014</v>
      </c>
      <c r="C49" s="538">
        <v>11</v>
      </c>
      <c r="D49" s="542">
        <v>6.8</v>
      </c>
      <c r="E49" s="510">
        <v>15</v>
      </c>
      <c r="F49" s="534">
        <v>12</v>
      </c>
      <c r="G49" s="541">
        <v>9.6785999999999994</v>
      </c>
      <c r="H49" s="516">
        <v>12</v>
      </c>
    </row>
    <row r="50" spans="1:9" ht="20.100000000000001" customHeight="1" thickBot="1" x14ac:dyDescent="0.3">
      <c r="A50" s="1374"/>
      <c r="B50" s="455">
        <v>2015</v>
      </c>
      <c r="C50" s="538">
        <v>12</v>
      </c>
      <c r="D50" s="542">
        <v>7</v>
      </c>
      <c r="E50" s="510">
        <v>15</v>
      </c>
      <c r="F50" s="512">
        <v>13.31</v>
      </c>
      <c r="G50" s="541">
        <v>10.4124</v>
      </c>
      <c r="H50" s="516">
        <v>12</v>
      </c>
    </row>
    <row r="51" spans="1:9" ht="20.100000000000001" customHeight="1" thickBot="1" x14ac:dyDescent="0.3">
      <c r="A51" s="1374"/>
      <c r="B51" s="455">
        <v>2016</v>
      </c>
      <c r="C51" s="538">
        <v>13</v>
      </c>
      <c r="D51" s="542">
        <v>7.1</v>
      </c>
      <c r="E51" s="510">
        <v>15</v>
      </c>
      <c r="F51" s="512">
        <v>14.641</v>
      </c>
      <c r="G51" s="541">
        <v>11.1462</v>
      </c>
      <c r="H51" s="516">
        <v>12</v>
      </c>
    </row>
    <row r="52" spans="1:9" s="1" customFormat="1" ht="20.100000000000001" customHeight="1" thickBot="1" x14ac:dyDescent="0.3">
      <c r="A52" s="1374"/>
      <c r="B52" s="455">
        <v>2017</v>
      </c>
      <c r="C52" s="538">
        <v>14</v>
      </c>
      <c r="D52" s="542">
        <v>7.2</v>
      </c>
      <c r="E52" s="510">
        <v>15</v>
      </c>
      <c r="F52" s="512">
        <v>16.105</v>
      </c>
      <c r="G52" s="540">
        <v>11.88</v>
      </c>
      <c r="H52" s="516">
        <v>12</v>
      </c>
    </row>
    <row r="53" spans="1:9" s="1" customFormat="1" ht="20.100000000000001" customHeight="1" thickBot="1" x14ac:dyDescent="0.3">
      <c r="A53" s="1374"/>
      <c r="B53" s="455">
        <v>2018</v>
      </c>
      <c r="C53" s="538">
        <v>15</v>
      </c>
      <c r="D53" s="542">
        <v>7.4</v>
      </c>
      <c r="E53" s="510">
        <v>15</v>
      </c>
      <c r="F53" s="512">
        <v>17.716000000000001</v>
      </c>
      <c r="G53" s="540">
        <v>11.88</v>
      </c>
      <c r="H53" s="516">
        <v>12</v>
      </c>
    </row>
    <row r="54" spans="1:9" s="1" customFormat="1" ht="20.100000000000001" customHeight="1" thickBot="1" x14ac:dyDescent="0.3">
      <c r="A54" s="706"/>
      <c r="B54" s="455">
        <v>2019</v>
      </c>
      <c r="C54" s="538">
        <v>15</v>
      </c>
      <c r="D54" s="542">
        <v>7.4</v>
      </c>
      <c r="E54" s="510">
        <v>15</v>
      </c>
      <c r="F54" s="512">
        <v>15.944000000000001</v>
      </c>
      <c r="G54" s="540">
        <v>11.88</v>
      </c>
      <c r="H54" s="516">
        <v>12</v>
      </c>
    </row>
    <row r="55" spans="1:9" s="1" customFormat="1" ht="20.100000000000001" customHeight="1" thickBot="1" x14ac:dyDescent="0.3">
      <c r="A55" s="706"/>
      <c r="B55" s="455">
        <v>2020</v>
      </c>
      <c r="C55" s="538">
        <v>15</v>
      </c>
      <c r="D55" s="542">
        <v>7.4</v>
      </c>
      <c r="E55" s="510">
        <v>15</v>
      </c>
      <c r="F55" s="512">
        <v>15.944000000000001</v>
      </c>
      <c r="G55" s="540">
        <v>11.88</v>
      </c>
      <c r="H55" s="516">
        <v>12</v>
      </c>
    </row>
    <row r="56" spans="1:9" s="1" customFormat="1" ht="20.100000000000001" customHeight="1" thickBot="1" x14ac:dyDescent="0.3">
      <c r="A56" s="706"/>
      <c r="B56" s="455">
        <v>2021</v>
      </c>
      <c r="C56" s="538">
        <v>15</v>
      </c>
      <c r="D56" s="542">
        <v>7.4</v>
      </c>
      <c r="E56" s="510">
        <v>15</v>
      </c>
      <c r="F56" s="512">
        <v>15.944000000000001</v>
      </c>
      <c r="G56" s="540">
        <v>11.88</v>
      </c>
      <c r="H56" s="516">
        <v>12</v>
      </c>
    </row>
    <row r="57" spans="1:9" s="1" customFormat="1" ht="20.100000000000001" customHeight="1" thickBot="1" x14ac:dyDescent="0.3">
      <c r="A57" s="706"/>
      <c r="B57" s="455">
        <v>2022</v>
      </c>
      <c r="C57" s="538">
        <v>15</v>
      </c>
      <c r="D57" s="542">
        <v>7.4</v>
      </c>
      <c r="E57" s="510">
        <v>15</v>
      </c>
      <c r="F57" s="512">
        <v>15.944000000000001</v>
      </c>
      <c r="G57" s="540">
        <v>11.88</v>
      </c>
      <c r="H57" s="516">
        <v>12</v>
      </c>
    </row>
    <row r="58" spans="1:9" s="1" customFormat="1" ht="20.100000000000001" customHeight="1" thickBot="1" x14ac:dyDescent="0.3">
      <c r="A58" s="706"/>
      <c r="B58" s="455">
        <v>2023</v>
      </c>
      <c r="C58" s="538">
        <v>15</v>
      </c>
      <c r="D58" s="542">
        <v>7.4</v>
      </c>
      <c r="E58" s="510">
        <v>15</v>
      </c>
      <c r="F58" s="512">
        <v>15.944000000000001</v>
      </c>
      <c r="G58" s="540">
        <v>11.88</v>
      </c>
      <c r="H58" s="516">
        <v>12</v>
      </c>
    </row>
    <row r="59" spans="1:9" s="1" customFormat="1" ht="20.100000000000001" customHeight="1" thickBot="1" x14ac:dyDescent="0.3">
      <c r="A59" s="706"/>
      <c r="B59" s="455">
        <v>2024</v>
      </c>
      <c r="C59" s="538">
        <v>15</v>
      </c>
      <c r="D59" s="542">
        <v>7.4</v>
      </c>
      <c r="E59" s="510">
        <v>15</v>
      </c>
      <c r="F59" s="512">
        <v>15.944000000000001</v>
      </c>
      <c r="G59" s="540">
        <v>11.88</v>
      </c>
      <c r="H59" s="516">
        <v>12</v>
      </c>
    </row>
    <row r="60" spans="1:9" s="1" customFormat="1" ht="20.100000000000001" customHeight="1" x14ac:dyDescent="0.25">
      <c r="A60" s="706"/>
      <c r="B60" s="455"/>
      <c r="C60" s="755">
        <f>+(C59-C43)/C43</f>
        <v>0.8633540372670806</v>
      </c>
      <c r="D60" s="755">
        <f t="shared" ref="D60:H60" si="2">+(D59-D43)/D43</f>
        <v>0.64444444444444449</v>
      </c>
      <c r="E60" s="755">
        <f t="shared" si="2"/>
        <v>0</v>
      </c>
      <c r="F60" s="755">
        <f t="shared" si="2"/>
        <v>0.875764705882353</v>
      </c>
      <c r="G60" s="755">
        <f t="shared" si="2"/>
        <v>0.47577639751552792</v>
      </c>
      <c r="H60" s="755">
        <f t="shared" si="2"/>
        <v>0</v>
      </c>
      <c r="I60" s="781" t="s">
        <v>226</v>
      </c>
    </row>
    <row r="61" spans="1:9" s="1" customFormat="1" ht="20.100000000000001" customHeight="1" thickBot="1" x14ac:dyDescent="0.3">
      <c r="A61" s="456"/>
      <c r="B61" s="455"/>
      <c r="C61" s="461"/>
      <c r="D61" s="461"/>
      <c r="E61" s="461"/>
      <c r="F61" s="461"/>
      <c r="G61" s="461"/>
      <c r="H61" s="461"/>
    </row>
    <row r="62" spans="1:9" s="1" customFormat="1" ht="20.100000000000001" customHeight="1" thickBot="1" x14ac:dyDescent="0.3">
      <c r="A62" s="456"/>
      <c r="B62" s="455"/>
      <c r="C62" s="501" t="s">
        <v>23</v>
      </c>
      <c r="D62" s="499" t="s">
        <v>24</v>
      </c>
      <c r="E62" s="499" t="s">
        <v>27</v>
      </c>
      <c r="F62" s="499" t="s">
        <v>26</v>
      </c>
      <c r="G62" s="499" t="s">
        <v>28</v>
      </c>
      <c r="H62" s="500" t="s">
        <v>29</v>
      </c>
    </row>
    <row r="63" spans="1:9" s="1" customFormat="1" ht="20.100000000000001" customHeight="1" thickBot="1" x14ac:dyDescent="0.3">
      <c r="A63" s="1372" t="s">
        <v>20</v>
      </c>
      <c r="B63" s="455">
        <v>2008</v>
      </c>
      <c r="C63" s="517">
        <v>25</v>
      </c>
      <c r="D63" s="518"/>
      <c r="E63" s="519">
        <v>25</v>
      </c>
      <c r="F63" s="512">
        <v>14.17</v>
      </c>
      <c r="G63" s="520">
        <v>25</v>
      </c>
      <c r="H63" s="521">
        <v>20</v>
      </c>
    </row>
    <row r="64" spans="1:9" s="8" customFormat="1" ht="20.100000000000001" customHeight="1" thickBot="1" x14ac:dyDescent="0.3">
      <c r="A64" s="1372"/>
      <c r="B64" s="455">
        <v>2009</v>
      </c>
      <c r="C64" s="517">
        <v>25</v>
      </c>
      <c r="D64" s="518"/>
      <c r="E64" s="519">
        <v>25</v>
      </c>
      <c r="F64" s="522">
        <v>15</v>
      </c>
      <c r="G64" s="520">
        <v>25</v>
      </c>
      <c r="H64" s="521">
        <v>20</v>
      </c>
    </row>
    <row r="65" spans="1:10" s="8" customFormat="1" ht="20.100000000000001" customHeight="1" thickBot="1" x14ac:dyDescent="0.3">
      <c r="A65" s="1372"/>
      <c r="B65" s="455">
        <v>2010</v>
      </c>
      <c r="C65" s="517">
        <v>25</v>
      </c>
      <c r="D65" s="518"/>
      <c r="E65" s="519">
        <v>25</v>
      </c>
      <c r="F65" s="522">
        <v>15</v>
      </c>
      <c r="G65" s="520">
        <v>25</v>
      </c>
      <c r="H65" s="521">
        <v>20</v>
      </c>
    </row>
    <row r="66" spans="1:10" ht="20.100000000000001" customHeight="1" thickBot="1" x14ac:dyDescent="0.3">
      <c r="A66" s="1372"/>
      <c r="B66" s="455">
        <v>2011</v>
      </c>
      <c r="C66" s="517">
        <v>25</v>
      </c>
      <c r="D66" s="518"/>
      <c r="E66" s="519">
        <v>25</v>
      </c>
      <c r="F66" s="512">
        <v>15.83</v>
      </c>
      <c r="G66" s="520">
        <v>25</v>
      </c>
      <c r="H66" s="521">
        <v>20</v>
      </c>
    </row>
    <row r="67" spans="1:10" ht="20.100000000000001" customHeight="1" thickBot="1" x14ac:dyDescent="0.3">
      <c r="A67" s="1372"/>
      <c r="B67" s="455">
        <v>2012</v>
      </c>
      <c r="C67" s="517">
        <v>25</v>
      </c>
      <c r="D67" s="518"/>
      <c r="E67" s="519">
        <v>25</v>
      </c>
      <c r="F67" s="512">
        <v>16.670000000000002</v>
      </c>
      <c r="G67" s="520">
        <v>25</v>
      </c>
      <c r="H67" s="521">
        <v>20</v>
      </c>
    </row>
    <row r="68" spans="1:10" ht="20.100000000000001" customHeight="1" thickBot="1" x14ac:dyDescent="0.3">
      <c r="A68" s="1372"/>
      <c r="B68" s="455">
        <v>2013</v>
      </c>
      <c r="C68" s="517">
        <v>25</v>
      </c>
      <c r="D68" s="523">
        <v>30</v>
      </c>
      <c r="E68" s="519">
        <v>25</v>
      </c>
      <c r="F68" s="512">
        <v>18.337</v>
      </c>
      <c r="G68" s="520">
        <v>30</v>
      </c>
      <c r="H68" s="521">
        <v>20</v>
      </c>
    </row>
    <row r="69" spans="1:10" ht="20.100000000000001" customHeight="1" thickBot="1" x14ac:dyDescent="0.3">
      <c r="A69" s="1372"/>
      <c r="B69" s="455">
        <v>2014</v>
      </c>
      <c r="C69" s="517">
        <v>26</v>
      </c>
      <c r="D69" s="523">
        <v>30</v>
      </c>
      <c r="E69" s="519">
        <v>25</v>
      </c>
      <c r="F69" s="512">
        <v>20.170999999999999</v>
      </c>
      <c r="G69" s="520">
        <v>30</v>
      </c>
      <c r="H69" s="521">
        <v>20</v>
      </c>
    </row>
    <row r="70" spans="1:10" ht="20.100000000000001" customHeight="1" thickBot="1" x14ac:dyDescent="0.3">
      <c r="A70" s="1372"/>
      <c r="B70" s="455">
        <v>2015</v>
      </c>
      <c r="C70" s="517">
        <v>27</v>
      </c>
      <c r="D70" s="523">
        <v>30</v>
      </c>
      <c r="E70" s="519">
        <v>25</v>
      </c>
      <c r="F70" s="512">
        <v>22.187999999999999</v>
      </c>
      <c r="G70" s="520">
        <v>30</v>
      </c>
      <c r="H70" s="521">
        <v>20</v>
      </c>
    </row>
    <row r="71" spans="1:10" ht="20.100000000000001" customHeight="1" thickBot="1" x14ac:dyDescent="0.3">
      <c r="A71" s="1372"/>
      <c r="B71" s="455">
        <v>2016</v>
      </c>
      <c r="C71" s="517">
        <v>28</v>
      </c>
      <c r="D71" s="523">
        <v>30</v>
      </c>
      <c r="E71" s="519">
        <v>25</v>
      </c>
      <c r="F71" s="512">
        <v>24.407</v>
      </c>
      <c r="G71" s="520">
        <v>30</v>
      </c>
      <c r="H71" s="521">
        <v>20</v>
      </c>
    </row>
    <row r="72" spans="1:10" ht="20.100000000000001" customHeight="1" thickBot="1" x14ac:dyDescent="0.3">
      <c r="A72" s="1372"/>
      <c r="B72" s="455">
        <v>2017</v>
      </c>
      <c r="C72" s="517">
        <v>29</v>
      </c>
      <c r="D72" s="523">
        <v>30</v>
      </c>
      <c r="E72" s="519">
        <v>25</v>
      </c>
      <c r="F72" s="512">
        <v>26.847999999999999</v>
      </c>
      <c r="G72" s="520">
        <v>30</v>
      </c>
      <c r="H72" s="521">
        <v>20</v>
      </c>
    </row>
    <row r="73" spans="1:10" ht="20.100000000000001" customHeight="1" thickBot="1" x14ac:dyDescent="0.3">
      <c r="A73" s="1372"/>
      <c r="B73" s="455">
        <v>2018</v>
      </c>
      <c r="C73" s="517">
        <v>30</v>
      </c>
      <c r="D73" s="523">
        <v>30</v>
      </c>
      <c r="E73" s="519">
        <v>25</v>
      </c>
      <c r="F73" s="512">
        <v>29.553000000000001</v>
      </c>
      <c r="G73" s="520">
        <v>30</v>
      </c>
      <c r="H73" s="521">
        <v>20</v>
      </c>
    </row>
    <row r="74" spans="1:10" ht="20.100000000000001" customHeight="1" thickBot="1" x14ac:dyDescent="0.3">
      <c r="A74" s="498"/>
      <c r="B74" s="455">
        <v>2019</v>
      </c>
      <c r="C74" s="517">
        <v>30</v>
      </c>
      <c r="D74" s="523">
        <v>30</v>
      </c>
      <c r="E74" s="519">
        <v>25</v>
      </c>
      <c r="F74" s="512">
        <v>26.58</v>
      </c>
      <c r="G74" s="520">
        <v>30</v>
      </c>
      <c r="H74" s="521">
        <v>20</v>
      </c>
    </row>
    <row r="75" spans="1:10" ht="20.100000000000001" customHeight="1" thickBot="1" x14ac:dyDescent="0.3">
      <c r="A75" s="498"/>
      <c r="B75" s="455">
        <v>2020</v>
      </c>
      <c r="C75" s="517">
        <v>30</v>
      </c>
      <c r="D75" s="523">
        <v>30</v>
      </c>
      <c r="E75" s="519">
        <v>25</v>
      </c>
      <c r="F75" s="512">
        <v>26.58</v>
      </c>
      <c r="G75" s="520">
        <v>30</v>
      </c>
      <c r="H75" s="521">
        <v>20</v>
      </c>
      <c r="J75" s="3" t="s">
        <v>222</v>
      </c>
    </row>
    <row r="76" spans="1:10" ht="20.100000000000001" customHeight="1" thickBot="1" x14ac:dyDescent="0.3">
      <c r="A76" s="498"/>
      <c r="B76" s="455">
        <v>2021</v>
      </c>
      <c r="C76" s="517">
        <v>30</v>
      </c>
      <c r="D76" s="523">
        <v>30</v>
      </c>
      <c r="E76" s="519">
        <v>25</v>
      </c>
      <c r="F76" s="512">
        <v>26.58</v>
      </c>
      <c r="G76" s="520">
        <v>30</v>
      </c>
      <c r="H76" s="521">
        <v>20</v>
      </c>
    </row>
    <row r="77" spans="1:10" ht="20.100000000000001" customHeight="1" thickBot="1" x14ac:dyDescent="0.3">
      <c r="A77" s="498"/>
      <c r="B77" s="455">
        <v>2022</v>
      </c>
      <c r="C77" s="517">
        <v>30</v>
      </c>
      <c r="D77" s="523">
        <v>30</v>
      </c>
      <c r="E77" s="519">
        <v>25</v>
      </c>
      <c r="F77" s="512">
        <v>26.58</v>
      </c>
      <c r="G77" s="520">
        <v>30</v>
      </c>
      <c r="H77" s="521">
        <v>20</v>
      </c>
    </row>
    <row r="78" spans="1:10" ht="20.100000000000001" customHeight="1" thickBot="1" x14ac:dyDescent="0.3">
      <c r="A78" s="498"/>
      <c r="B78" s="455">
        <v>2023</v>
      </c>
      <c r="C78" s="517">
        <v>30</v>
      </c>
      <c r="D78" s="523">
        <v>30</v>
      </c>
      <c r="E78" s="519">
        <v>25</v>
      </c>
      <c r="F78" s="512">
        <v>26.58</v>
      </c>
      <c r="G78" s="520">
        <v>30</v>
      </c>
      <c r="H78" s="521">
        <v>20</v>
      </c>
    </row>
    <row r="79" spans="1:10" ht="20.100000000000001" customHeight="1" thickBot="1" x14ac:dyDescent="0.3">
      <c r="A79" s="498"/>
      <c r="B79" s="455">
        <v>2024</v>
      </c>
      <c r="C79" s="517">
        <v>30</v>
      </c>
      <c r="D79" s="523">
        <v>30</v>
      </c>
      <c r="E79" s="519">
        <v>25</v>
      </c>
      <c r="F79" s="512">
        <v>26.58</v>
      </c>
      <c r="G79" s="520">
        <v>30</v>
      </c>
      <c r="H79" s="521">
        <v>20</v>
      </c>
    </row>
    <row r="80" spans="1:10" ht="20.100000000000001" customHeight="1" x14ac:dyDescent="0.25">
      <c r="A80" s="498"/>
      <c r="C80" s="755">
        <f>+(C79-C63)/C63</f>
        <v>0.2</v>
      </c>
      <c r="D80" s="755">
        <f>+(D79-D68)/D68</f>
        <v>0</v>
      </c>
      <c r="E80" s="755">
        <f t="shared" ref="E80:H80" si="3">+(E79-E63)/E63</f>
        <v>0</v>
      </c>
      <c r="F80" s="755">
        <f t="shared" si="3"/>
        <v>0.87579393083980228</v>
      </c>
      <c r="G80" s="755">
        <f t="shared" si="3"/>
        <v>0.2</v>
      </c>
      <c r="H80" s="755">
        <f t="shared" si="3"/>
        <v>0</v>
      </c>
      <c r="I80" s="781" t="s">
        <v>226</v>
      </c>
    </row>
    <row r="81" spans="1:8" ht="20.100000000000001" customHeight="1" thickBot="1" x14ac:dyDescent="0.3">
      <c r="A81" s="498"/>
      <c r="C81" s="460"/>
      <c r="D81" s="460"/>
      <c r="E81" s="460"/>
      <c r="F81" s="460"/>
      <c r="G81" s="460"/>
      <c r="H81" s="460"/>
    </row>
    <row r="82" spans="1:8" ht="20.100000000000001" customHeight="1" thickBot="1" x14ac:dyDescent="0.3">
      <c r="A82" s="456"/>
      <c r="C82" s="501" t="s">
        <v>23</v>
      </c>
      <c r="D82" s="499" t="s">
        <v>24</v>
      </c>
      <c r="E82" s="499" t="s">
        <v>27</v>
      </c>
      <c r="F82" s="499" t="s">
        <v>26</v>
      </c>
      <c r="G82" s="499" t="s">
        <v>28</v>
      </c>
      <c r="H82" s="500" t="s">
        <v>29</v>
      </c>
    </row>
    <row r="83" spans="1:8" s="7" customFormat="1" ht="20.100000000000001" customHeight="1" thickBot="1" x14ac:dyDescent="0.3">
      <c r="A83" s="1373" t="s">
        <v>5</v>
      </c>
      <c r="B83" s="455">
        <v>2008</v>
      </c>
      <c r="C83" s="524">
        <v>2.36</v>
      </c>
      <c r="D83" s="525">
        <v>0.5</v>
      </c>
      <c r="E83" s="526">
        <v>0</v>
      </c>
      <c r="F83" s="527">
        <v>5</v>
      </c>
      <c r="G83" s="528">
        <v>6.9770000000000003</v>
      </c>
      <c r="H83" s="529">
        <v>9</v>
      </c>
    </row>
    <row r="84" spans="1:8" ht="20.100000000000001" customHeight="1" thickBot="1" x14ac:dyDescent="0.3">
      <c r="A84" s="1373"/>
      <c r="B84" s="455">
        <v>2009</v>
      </c>
      <c r="C84" s="524">
        <v>2.36</v>
      </c>
      <c r="D84" s="525">
        <v>0.58699999999999997</v>
      </c>
      <c r="E84" s="526">
        <v>0</v>
      </c>
      <c r="F84" s="527">
        <v>6</v>
      </c>
      <c r="G84" s="528">
        <v>6.9770000000000003</v>
      </c>
      <c r="H84" s="529">
        <v>9</v>
      </c>
    </row>
    <row r="85" spans="1:8" ht="20.100000000000001" customHeight="1" thickBot="1" x14ac:dyDescent="0.3">
      <c r="A85" s="1373"/>
      <c r="B85" s="455">
        <v>2010</v>
      </c>
      <c r="C85" s="524">
        <v>2.36</v>
      </c>
      <c r="D85" s="525">
        <v>0.65900000000000003</v>
      </c>
      <c r="E85" s="526">
        <v>0</v>
      </c>
      <c r="F85" s="527">
        <v>6</v>
      </c>
      <c r="G85" s="528">
        <v>7.117</v>
      </c>
      <c r="H85" s="529">
        <v>9</v>
      </c>
    </row>
    <row r="86" spans="1:8" ht="20.100000000000001" customHeight="1" thickBot="1" x14ac:dyDescent="0.3">
      <c r="A86" s="1373"/>
      <c r="B86" s="455">
        <v>2011</v>
      </c>
      <c r="C86" s="524">
        <v>2.36</v>
      </c>
      <c r="D86" s="525">
        <v>0.74</v>
      </c>
      <c r="E86" s="526">
        <v>0</v>
      </c>
      <c r="F86" s="527">
        <v>7</v>
      </c>
      <c r="G86" s="528">
        <v>7.117</v>
      </c>
      <c r="H86" s="529">
        <v>9</v>
      </c>
    </row>
    <row r="87" spans="1:8" ht="20.100000000000001" customHeight="1" thickBot="1" x14ac:dyDescent="0.3">
      <c r="A87" s="1373"/>
      <c r="B87" s="455">
        <v>2012</v>
      </c>
      <c r="C87" s="524">
        <v>2.36</v>
      </c>
      <c r="D87" s="525">
        <v>0.83099999999999996</v>
      </c>
      <c r="E87" s="526">
        <v>0</v>
      </c>
      <c r="F87" s="527">
        <v>8</v>
      </c>
      <c r="G87" s="528">
        <v>7.117</v>
      </c>
      <c r="H87" s="529">
        <v>9</v>
      </c>
    </row>
    <row r="88" spans="1:8" ht="20.100000000000001" customHeight="1" thickBot="1" x14ac:dyDescent="0.3">
      <c r="A88" s="1373"/>
      <c r="B88" s="455">
        <v>2013</v>
      </c>
      <c r="C88" s="524">
        <v>3</v>
      </c>
      <c r="D88" s="525">
        <v>0.85</v>
      </c>
      <c r="E88" s="526">
        <v>0</v>
      </c>
      <c r="F88" s="530">
        <v>8.4</v>
      </c>
      <c r="G88" s="528">
        <v>7.4096000000000002</v>
      </c>
      <c r="H88" s="529">
        <v>9</v>
      </c>
    </row>
    <row r="89" spans="1:8" s="1" customFormat="1" ht="20.100000000000001" customHeight="1" thickBot="1" x14ac:dyDescent="0.3">
      <c r="A89" s="1373"/>
      <c r="B89" s="455">
        <v>2014</v>
      </c>
      <c r="C89" s="524">
        <v>4</v>
      </c>
      <c r="D89" s="525">
        <v>0.86</v>
      </c>
      <c r="E89" s="526">
        <v>0</v>
      </c>
      <c r="F89" s="531">
        <v>8.82</v>
      </c>
      <c r="G89" s="528">
        <v>7.7022000000000004</v>
      </c>
      <c r="H89" s="529">
        <v>9</v>
      </c>
    </row>
    <row r="90" spans="1:8" s="1" customFormat="1" ht="20.100000000000001" customHeight="1" thickBot="1" x14ac:dyDescent="0.3">
      <c r="A90" s="1373"/>
      <c r="B90" s="455">
        <v>2015</v>
      </c>
      <c r="C90" s="524">
        <v>4.5</v>
      </c>
      <c r="D90" s="525">
        <v>0.88</v>
      </c>
      <c r="E90" s="526">
        <v>0</v>
      </c>
      <c r="F90" s="531">
        <v>9.2609999999999992</v>
      </c>
      <c r="G90" s="528">
        <v>7.9947999999999997</v>
      </c>
      <c r="H90" s="529">
        <v>9</v>
      </c>
    </row>
    <row r="91" spans="1:8" s="1" customFormat="1" ht="20.100000000000001" customHeight="1" thickBot="1" x14ac:dyDescent="0.3">
      <c r="A91" s="1373"/>
      <c r="B91" s="455">
        <v>2016</v>
      </c>
      <c r="C91" s="524">
        <v>5.5</v>
      </c>
      <c r="D91" s="525">
        <v>0.9</v>
      </c>
      <c r="E91" s="526">
        <v>0</v>
      </c>
      <c r="F91" s="531">
        <v>9.7240000000000002</v>
      </c>
      <c r="G91" s="528">
        <v>8.2873999999999999</v>
      </c>
      <c r="H91" s="529">
        <v>9</v>
      </c>
    </row>
    <row r="92" spans="1:8" s="1" customFormat="1" ht="20.100000000000001" customHeight="1" thickBot="1" x14ac:dyDescent="0.3">
      <c r="A92" s="1373"/>
      <c r="B92" s="455">
        <v>2017</v>
      </c>
      <c r="C92" s="524">
        <v>6.5</v>
      </c>
      <c r="D92" s="525">
        <v>0.92</v>
      </c>
      <c r="E92" s="526">
        <v>0</v>
      </c>
      <c r="F92" s="531">
        <v>10.210000000000001</v>
      </c>
      <c r="G92" s="528">
        <v>8.58</v>
      </c>
      <c r="H92" s="529">
        <v>9</v>
      </c>
    </row>
    <row r="93" spans="1:8" s="8" customFormat="1" ht="20.100000000000001" customHeight="1" thickBot="1" x14ac:dyDescent="0.3">
      <c r="A93" s="1373"/>
      <c r="B93" s="455">
        <v>2018</v>
      </c>
      <c r="C93" s="524">
        <v>7</v>
      </c>
      <c r="D93" s="525">
        <v>0.94</v>
      </c>
      <c r="E93" s="526">
        <v>0</v>
      </c>
      <c r="F93" s="531">
        <v>10.721</v>
      </c>
      <c r="G93" s="528">
        <v>8.58</v>
      </c>
      <c r="H93" s="529">
        <v>9</v>
      </c>
    </row>
    <row r="94" spans="1:8" s="8" customFormat="1" ht="20.100000000000001" customHeight="1" thickBot="1" x14ac:dyDescent="0.3">
      <c r="A94" s="705"/>
      <c r="B94" s="455">
        <v>2019</v>
      </c>
      <c r="C94" s="524">
        <v>7</v>
      </c>
      <c r="D94" s="525">
        <v>0.94</v>
      </c>
      <c r="E94" s="526">
        <v>1.63</v>
      </c>
      <c r="F94" s="531">
        <v>9.6489999999999991</v>
      </c>
      <c r="G94" s="528">
        <v>8.58</v>
      </c>
      <c r="H94" s="529">
        <v>9</v>
      </c>
    </row>
    <row r="95" spans="1:8" s="8" customFormat="1" ht="20.100000000000001" customHeight="1" thickBot="1" x14ac:dyDescent="0.3">
      <c r="A95" s="705"/>
      <c r="B95" s="455">
        <v>2020</v>
      </c>
      <c r="C95" s="524">
        <v>7</v>
      </c>
      <c r="D95" s="525">
        <v>0.94</v>
      </c>
      <c r="E95" s="526">
        <v>1.63</v>
      </c>
      <c r="F95" s="531">
        <v>9.6489999999999991</v>
      </c>
      <c r="G95" s="528">
        <v>8.58</v>
      </c>
      <c r="H95" s="529">
        <v>9</v>
      </c>
    </row>
    <row r="96" spans="1:8" s="8" customFormat="1" ht="20.100000000000001" customHeight="1" thickBot="1" x14ac:dyDescent="0.3">
      <c r="A96" s="705"/>
      <c r="B96" s="455">
        <v>2021</v>
      </c>
      <c r="C96" s="524">
        <v>7</v>
      </c>
      <c r="D96" s="525">
        <v>0.94</v>
      </c>
      <c r="E96" s="526">
        <v>3.25</v>
      </c>
      <c r="F96" s="531">
        <v>9.6489999999999991</v>
      </c>
      <c r="G96" s="528">
        <v>8.58</v>
      </c>
      <c r="H96" s="529">
        <v>9</v>
      </c>
    </row>
    <row r="97" spans="1:9" s="8" customFormat="1" ht="20.100000000000001" customHeight="1" thickBot="1" x14ac:dyDescent="0.3">
      <c r="A97" s="705"/>
      <c r="B97" s="455">
        <v>2022</v>
      </c>
      <c r="C97" s="524">
        <v>7</v>
      </c>
      <c r="D97" s="525">
        <v>0.94</v>
      </c>
      <c r="E97" s="526">
        <v>3.25</v>
      </c>
      <c r="F97" s="531">
        <v>9.6489999999999991</v>
      </c>
      <c r="G97" s="528">
        <v>8.58</v>
      </c>
      <c r="H97" s="529">
        <v>9</v>
      </c>
    </row>
    <row r="98" spans="1:9" s="8" customFormat="1" ht="20.100000000000001" customHeight="1" thickBot="1" x14ac:dyDescent="0.3">
      <c r="A98" s="705"/>
      <c r="B98" s="455">
        <v>2023</v>
      </c>
      <c r="C98" s="524">
        <v>7</v>
      </c>
      <c r="D98" s="525">
        <v>0.94</v>
      </c>
      <c r="E98" s="526">
        <v>3.25</v>
      </c>
      <c r="F98" s="531">
        <v>9.6489999999999991</v>
      </c>
      <c r="G98" s="528">
        <v>8.58</v>
      </c>
      <c r="H98" s="529">
        <v>9</v>
      </c>
    </row>
    <row r="99" spans="1:9" s="8" customFormat="1" ht="20.100000000000001" customHeight="1" thickBot="1" x14ac:dyDescent="0.3">
      <c r="A99" s="705"/>
      <c r="B99" s="455">
        <v>2024</v>
      </c>
      <c r="C99" s="524">
        <v>7</v>
      </c>
      <c r="D99" s="525">
        <v>0.94</v>
      </c>
      <c r="E99" s="526">
        <v>3.25</v>
      </c>
      <c r="F99" s="531">
        <v>9.6489999999999991</v>
      </c>
      <c r="G99" s="528">
        <v>8.58</v>
      </c>
      <c r="H99" s="529">
        <v>9</v>
      </c>
    </row>
    <row r="100" spans="1:9" s="8" customFormat="1" ht="24.75" customHeight="1" x14ac:dyDescent="0.25">
      <c r="A100" s="705"/>
      <c r="B100" s="455"/>
      <c r="C100" s="755">
        <f>+(C99-C83)/C83</f>
        <v>1.9661016949152545</v>
      </c>
      <c r="D100" s="755">
        <f t="shared" ref="D100:H100" si="4">+(D99-D83)/D83</f>
        <v>0.87999999999999989</v>
      </c>
      <c r="E100" s="880" t="s">
        <v>173</v>
      </c>
      <c r="F100" s="755">
        <f t="shared" si="4"/>
        <v>0.92979999999999985</v>
      </c>
      <c r="G100" s="755">
        <f t="shared" si="4"/>
        <v>0.22975490898667045</v>
      </c>
      <c r="H100" s="755">
        <f t="shared" si="4"/>
        <v>0</v>
      </c>
      <c r="I100" s="781" t="s">
        <v>226</v>
      </c>
    </row>
    <row r="101" spans="1:9" s="8" customFormat="1" ht="20.100000000000001" customHeight="1" thickBot="1" x14ac:dyDescent="0.3">
      <c r="A101" s="505"/>
      <c r="B101" s="455"/>
      <c r="C101" s="458"/>
      <c r="D101" s="458"/>
      <c r="E101" s="458"/>
      <c r="F101" s="458"/>
      <c r="G101" s="458"/>
      <c r="H101" s="458"/>
    </row>
    <row r="102" spans="1:9" s="8" customFormat="1" ht="20.100000000000001" customHeight="1" thickBot="1" x14ac:dyDescent="0.3">
      <c r="A102" s="506"/>
      <c r="B102" s="455"/>
      <c r="C102" s="501" t="s">
        <v>23</v>
      </c>
      <c r="D102" s="499" t="s">
        <v>24</v>
      </c>
      <c r="E102" s="499" t="s">
        <v>27</v>
      </c>
      <c r="F102" s="499" t="s">
        <v>26</v>
      </c>
      <c r="G102" s="500" t="s">
        <v>28</v>
      </c>
      <c r="H102" s="507" t="s">
        <v>29</v>
      </c>
    </row>
    <row r="103" spans="1:9" s="1" customFormat="1" ht="20.100000000000001" customHeight="1" thickBot="1" x14ac:dyDescent="0.3">
      <c r="A103" s="1372" t="s">
        <v>6</v>
      </c>
      <c r="B103" s="455">
        <v>2008</v>
      </c>
      <c r="C103" s="517">
        <v>11.8</v>
      </c>
      <c r="D103" s="518"/>
      <c r="E103" s="533"/>
      <c r="F103" s="512">
        <v>7.69</v>
      </c>
      <c r="G103" s="543">
        <v>20</v>
      </c>
      <c r="H103" s="544">
        <v>13.8</v>
      </c>
    </row>
    <row r="104" spans="1:9" ht="20.100000000000001" customHeight="1" thickBot="1" x14ac:dyDescent="0.3">
      <c r="A104" s="1372"/>
      <c r="B104" s="455">
        <v>2009</v>
      </c>
      <c r="C104" s="517">
        <v>11.8</v>
      </c>
      <c r="D104" s="518"/>
      <c r="E104" s="533"/>
      <c r="F104" s="512">
        <v>9.23</v>
      </c>
      <c r="G104" s="543">
        <v>20</v>
      </c>
      <c r="H104" s="544">
        <v>13.8</v>
      </c>
    </row>
    <row r="105" spans="1:9" s="1" customFormat="1" ht="20.100000000000001" customHeight="1" thickBot="1" x14ac:dyDescent="0.3">
      <c r="A105" s="1372"/>
      <c r="B105" s="455">
        <v>2010</v>
      </c>
      <c r="C105" s="517">
        <v>11.8</v>
      </c>
      <c r="D105" s="518"/>
      <c r="E105" s="533"/>
      <c r="F105" s="512">
        <v>9.23</v>
      </c>
      <c r="G105" s="543">
        <v>20</v>
      </c>
      <c r="H105" s="544">
        <v>13.8</v>
      </c>
    </row>
    <row r="106" spans="1:9" ht="20.100000000000001" customHeight="1" thickBot="1" x14ac:dyDescent="0.3">
      <c r="A106" s="1372"/>
      <c r="B106" s="455">
        <v>2011</v>
      </c>
      <c r="C106" s="517">
        <v>11.8</v>
      </c>
      <c r="D106" s="518"/>
      <c r="E106" s="533"/>
      <c r="F106" s="512">
        <v>10.77</v>
      </c>
      <c r="G106" s="543">
        <v>20</v>
      </c>
      <c r="H106" s="544">
        <v>13.8</v>
      </c>
    </row>
    <row r="107" spans="1:9" ht="20.100000000000001" customHeight="1" thickBot="1" x14ac:dyDescent="0.3">
      <c r="A107" s="1372"/>
      <c r="B107" s="455">
        <v>2012</v>
      </c>
      <c r="C107" s="517">
        <v>11.8</v>
      </c>
      <c r="D107" s="518"/>
      <c r="E107" s="533"/>
      <c r="F107" s="512">
        <v>12.31</v>
      </c>
      <c r="G107" s="543">
        <v>20</v>
      </c>
      <c r="H107" s="544">
        <v>13.8</v>
      </c>
    </row>
    <row r="108" spans="1:9" s="1" customFormat="1" ht="20.100000000000001" customHeight="1" thickBot="1" x14ac:dyDescent="0.3">
      <c r="A108" s="1372"/>
      <c r="B108" s="455">
        <v>2013</v>
      </c>
      <c r="C108" s="517">
        <v>15</v>
      </c>
      <c r="D108" s="537">
        <v>20</v>
      </c>
      <c r="E108" s="533"/>
      <c r="F108" s="512">
        <v>12.926</v>
      </c>
      <c r="G108" s="543">
        <v>20</v>
      </c>
      <c r="H108" s="544">
        <v>13.8</v>
      </c>
    </row>
    <row r="109" spans="1:9" ht="20.100000000000001" customHeight="1" thickBot="1" x14ac:dyDescent="0.3">
      <c r="A109" s="1372"/>
      <c r="B109" s="455">
        <v>2014</v>
      </c>
      <c r="C109" s="517">
        <v>17</v>
      </c>
      <c r="D109" s="537">
        <v>20</v>
      </c>
      <c r="E109" s="533"/>
      <c r="F109" s="512">
        <v>13.571999999999999</v>
      </c>
      <c r="G109" s="543">
        <v>20</v>
      </c>
      <c r="H109" s="544">
        <v>13.8</v>
      </c>
    </row>
    <row r="110" spans="1:9" s="1" customFormat="1" ht="20.100000000000001" customHeight="1" thickBot="1" x14ac:dyDescent="0.3">
      <c r="A110" s="1372"/>
      <c r="B110" s="455">
        <v>2015</v>
      </c>
      <c r="C110" s="517">
        <v>18</v>
      </c>
      <c r="D110" s="537">
        <v>20</v>
      </c>
      <c r="E110" s="533"/>
      <c r="F110" s="512">
        <v>14.250999999999999</v>
      </c>
      <c r="G110" s="543">
        <v>20</v>
      </c>
      <c r="H110" s="544">
        <v>13.8</v>
      </c>
    </row>
    <row r="111" spans="1:9" ht="20.100000000000001" customHeight="1" thickBot="1" x14ac:dyDescent="0.3">
      <c r="A111" s="1372"/>
      <c r="B111" s="455">
        <v>2016</v>
      </c>
      <c r="C111" s="517">
        <v>19</v>
      </c>
      <c r="D111" s="537">
        <v>20</v>
      </c>
      <c r="E111" s="533"/>
      <c r="F111" s="512">
        <v>14.964</v>
      </c>
      <c r="G111" s="543">
        <v>20</v>
      </c>
      <c r="H111" s="544">
        <v>13.8</v>
      </c>
    </row>
    <row r="112" spans="1:9" s="7" customFormat="1" ht="20.100000000000001" customHeight="1" thickBot="1" x14ac:dyDescent="0.3">
      <c r="A112" s="1372"/>
      <c r="B112" s="455">
        <v>2017</v>
      </c>
      <c r="C112" s="517">
        <v>19</v>
      </c>
      <c r="D112" s="537">
        <v>20</v>
      </c>
      <c r="E112" s="533"/>
      <c r="F112" s="512">
        <v>15.721</v>
      </c>
      <c r="G112" s="543">
        <v>20</v>
      </c>
      <c r="H112" s="544">
        <v>13.8</v>
      </c>
    </row>
    <row r="113" spans="1:9" ht="20.100000000000001" customHeight="1" thickBot="1" x14ac:dyDescent="0.3">
      <c r="A113" s="1372"/>
      <c r="B113" s="455">
        <v>2018</v>
      </c>
      <c r="C113" s="517">
        <v>20</v>
      </c>
      <c r="D113" s="537">
        <v>20</v>
      </c>
      <c r="E113" s="533"/>
      <c r="F113" s="512">
        <v>16.498000000000001</v>
      </c>
      <c r="G113" s="543">
        <v>20</v>
      </c>
      <c r="H113" s="544">
        <v>13.8</v>
      </c>
    </row>
    <row r="114" spans="1:9" ht="20.100000000000001" customHeight="1" thickBot="1" x14ac:dyDescent="0.3">
      <c r="A114" s="498"/>
      <c r="B114" s="455">
        <v>2019</v>
      </c>
      <c r="C114" s="517">
        <v>20</v>
      </c>
      <c r="D114" s="537">
        <v>20</v>
      </c>
      <c r="E114" s="533">
        <v>2.5</v>
      </c>
      <c r="F114" s="512">
        <v>14.848000000000001</v>
      </c>
      <c r="G114" s="543">
        <v>20</v>
      </c>
      <c r="H114" s="544">
        <v>13.8</v>
      </c>
    </row>
    <row r="115" spans="1:9" ht="20.100000000000001" customHeight="1" thickBot="1" x14ac:dyDescent="0.3">
      <c r="A115" s="498"/>
      <c r="B115" s="455">
        <v>2020</v>
      </c>
      <c r="C115" s="517">
        <v>20</v>
      </c>
      <c r="D115" s="537">
        <v>20</v>
      </c>
      <c r="E115" s="533">
        <v>2.5</v>
      </c>
      <c r="F115" s="512">
        <v>14.848000000000001</v>
      </c>
      <c r="G115" s="543">
        <v>20</v>
      </c>
      <c r="H115" s="544">
        <v>13.8</v>
      </c>
    </row>
    <row r="116" spans="1:9" ht="20.100000000000001" customHeight="1" thickBot="1" x14ac:dyDescent="0.3">
      <c r="A116" s="498"/>
      <c r="B116" s="455">
        <v>2021</v>
      </c>
      <c r="C116" s="517">
        <v>20</v>
      </c>
      <c r="D116" s="537">
        <v>20</v>
      </c>
      <c r="E116" s="533">
        <v>5</v>
      </c>
      <c r="F116" s="512">
        <v>14.848000000000001</v>
      </c>
      <c r="G116" s="543">
        <v>20</v>
      </c>
      <c r="H116" s="544">
        <v>13.8</v>
      </c>
    </row>
    <row r="117" spans="1:9" ht="20.100000000000001" customHeight="1" thickBot="1" x14ac:dyDescent="0.3">
      <c r="A117" s="498"/>
      <c r="B117" s="455">
        <v>2022</v>
      </c>
      <c r="C117" s="517">
        <v>20</v>
      </c>
      <c r="D117" s="537">
        <v>20</v>
      </c>
      <c r="E117" s="533">
        <v>5</v>
      </c>
      <c r="F117" s="512">
        <v>14.848000000000001</v>
      </c>
      <c r="G117" s="543">
        <v>20</v>
      </c>
      <c r="H117" s="544">
        <v>13.8</v>
      </c>
    </row>
    <row r="118" spans="1:9" ht="20.100000000000001" customHeight="1" thickBot="1" x14ac:dyDescent="0.3">
      <c r="A118" s="498"/>
      <c r="B118" s="455">
        <v>2023</v>
      </c>
      <c r="C118" s="517">
        <v>20</v>
      </c>
      <c r="D118" s="537">
        <v>20</v>
      </c>
      <c r="E118" s="533">
        <v>5</v>
      </c>
      <c r="F118" s="512">
        <v>14.848000000000001</v>
      </c>
      <c r="G118" s="543">
        <v>20</v>
      </c>
      <c r="H118" s="544">
        <v>13.8</v>
      </c>
    </row>
    <row r="119" spans="1:9" ht="20.100000000000001" customHeight="1" thickBot="1" x14ac:dyDescent="0.3">
      <c r="A119" s="498"/>
      <c r="B119" s="455">
        <v>2024</v>
      </c>
      <c r="C119" s="517">
        <v>20</v>
      </c>
      <c r="D119" s="537">
        <v>20</v>
      </c>
      <c r="E119" s="533">
        <v>5</v>
      </c>
      <c r="F119" s="512">
        <v>14.848000000000001</v>
      </c>
      <c r="G119" s="543">
        <v>20</v>
      </c>
      <c r="H119" s="544">
        <v>13.8</v>
      </c>
    </row>
    <row r="120" spans="1:9" ht="27.75" customHeight="1" x14ac:dyDescent="0.25">
      <c r="A120" s="498"/>
      <c r="C120" s="755">
        <f>+(C119-C103)/C103</f>
        <v>0.69491525423728806</v>
      </c>
      <c r="D120" s="755">
        <f>+(D119-D108)/D108</f>
        <v>0</v>
      </c>
      <c r="E120" s="880" t="s">
        <v>173</v>
      </c>
      <c r="F120" s="755">
        <f t="shared" ref="F120:H120" si="5">+(F119-F103)/F103</f>
        <v>0.9308192457737321</v>
      </c>
      <c r="G120" s="755">
        <f t="shared" si="5"/>
        <v>0</v>
      </c>
      <c r="H120" s="755">
        <f t="shared" si="5"/>
        <v>0</v>
      </c>
      <c r="I120" s="781" t="s">
        <v>226</v>
      </c>
    </row>
    <row r="121" spans="1:9" ht="20.100000000000001" customHeight="1" thickBot="1" x14ac:dyDescent="0.3">
      <c r="A121" s="498"/>
      <c r="C121" s="504"/>
      <c r="D121" s="460"/>
      <c r="E121" s="460"/>
      <c r="F121" s="460"/>
      <c r="G121" s="504"/>
      <c r="H121" s="504"/>
    </row>
    <row r="122" spans="1:9" s="1" customFormat="1" ht="20.100000000000001" customHeight="1" thickBot="1" x14ac:dyDescent="0.3">
      <c r="A122" s="456"/>
      <c r="B122" s="455"/>
      <c r="C122" s="501" t="s">
        <v>23</v>
      </c>
      <c r="D122" s="499" t="s">
        <v>24</v>
      </c>
      <c r="E122" s="499" t="s">
        <v>27</v>
      </c>
      <c r="F122" s="499" t="s">
        <v>26</v>
      </c>
      <c r="G122" s="499" t="s">
        <v>28</v>
      </c>
      <c r="H122" s="500" t="s">
        <v>29</v>
      </c>
    </row>
    <row r="123" spans="1:9" ht="20.100000000000001" customHeight="1" thickBot="1" x14ac:dyDescent="0.3">
      <c r="A123" s="1372" t="s">
        <v>152</v>
      </c>
      <c r="B123" s="455">
        <v>2008</v>
      </c>
      <c r="C123" s="545"/>
      <c r="D123" s="525"/>
      <c r="E123" s="526"/>
      <c r="F123" s="531"/>
      <c r="G123" s="528"/>
      <c r="H123" s="546"/>
    </row>
    <row r="124" spans="1:9" ht="20.100000000000001" customHeight="1" thickBot="1" x14ac:dyDescent="0.3">
      <c r="A124" s="1372"/>
      <c r="B124" s="455">
        <v>2009</v>
      </c>
      <c r="C124" s="545"/>
      <c r="D124" s="525"/>
      <c r="E124" s="526"/>
      <c r="F124" s="531"/>
      <c r="G124" s="528"/>
      <c r="H124" s="546"/>
    </row>
    <row r="125" spans="1:9" ht="20.100000000000001" customHeight="1" thickBot="1" x14ac:dyDescent="0.3">
      <c r="A125" s="1372"/>
      <c r="B125" s="455">
        <v>2010</v>
      </c>
      <c r="C125" s="545"/>
      <c r="D125" s="525"/>
      <c r="E125" s="526"/>
      <c r="F125" s="531"/>
      <c r="G125" s="528"/>
      <c r="H125" s="546"/>
    </row>
    <row r="126" spans="1:9" s="1" customFormat="1" ht="20.100000000000001" customHeight="1" thickBot="1" x14ac:dyDescent="0.3">
      <c r="A126" s="1372"/>
      <c r="B126" s="455">
        <v>2011</v>
      </c>
      <c r="C126" s="545"/>
      <c r="D126" s="525"/>
      <c r="E126" s="526"/>
      <c r="F126" s="531"/>
      <c r="G126" s="528"/>
      <c r="H126" s="546"/>
    </row>
    <row r="127" spans="1:9" s="1" customFormat="1" ht="20.100000000000001" customHeight="1" thickBot="1" x14ac:dyDescent="0.3">
      <c r="A127" s="1372"/>
      <c r="B127" s="455">
        <v>2012</v>
      </c>
      <c r="C127" s="545"/>
      <c r="D127" s="525"/>
      <c r="E127" s="526"/>
      <c r="F127" s="531"/>
      <c r="G127" s="528"/>
      <c r="H127" s="546"/>
    </row>
    <row r="128" spans="1:9" s="1" customFormat="1" ht="20.100000000000001" customHeight="1" thickBot="1" x14ac:dyDescent="0.3">
      <c r="A128" s="1372"/>
      <c r="B128" s="455">
        <v>2013</v>
      </c>
      <c r="C128" s="545"/>
      <c r="D128" s="537">
        <v>4</v>
      </c>
      <c r="E128" s="533"/>
      <c r="F128" s="539">
        <v>2.9</v>
      </c>
      <c r="G128" s="514"/>
      <c r="H128" s="547">
        <v>1</v>
      </c>
    </row>
    <row r="129" spans="1:9" s="1" customFormat="1" ht="20.100000000000001" customHeight="1" thickBot="1" x14ac:dyDescent="0.3">
      <c r="A129" s="1372"/>
      <c r="B129" s="455">
        <v>2014</v>
      </c>
      <c r="C129" s="545"/>
      <c r="D129" s="537">
        <v>4</v>
      </c>
      <c r="E129" s="533"/>
      <c r="F129" s="539">
        <v>3.1</v>
      </c>
      <c r="G129" s="514"/>
      <c r="H129" s="547">
        <v>1</v>
      </c>
    </row>
    <row r="130" spans="1:9" s="8" customFormat="1" ht="20.100000000000001" customHeight="1" thickBot="1" x14ac:dyDescent="0.3">
      <c r="A130" s="1372"/>
      <c r="B130" s="455">
        <v>2015</v>
      </c>
      <c r="C130" s="545"/>
      <c r="D130" s="537">
        <v>4</v>
      </c>
      <c r="E130" s="533"/>
      <c r="F130" s="539">
        <v>3.3</v>
      </c>
      <c r="G130" s="514"/>
      <c r="H130" s="547">
        <v>1</v>
      </c>
    </row>
    <row r="131" spans="1:9" s="8" customFormat="1" ht="20.100000000000001" customHeight="1" thickBot="1" x14ac:dyDescent="0.3">
      <c r="A131" s="1372"/>
      <c r="B131" s="455">
        <v>2016</v>
      </c>
      <c r="C131" s="545"/>
      <c r="D131" s="537">
        <v>4</v>
      </c>
      <c r="E131" s="533"/>
      <c r="F131" s="539">
        <v>3.5</v>
      </c>
      <c r="G131" s="514"/>
      <c r="H131" s="547">
        <v>1</v>
      </c>
    </row>
    <row r="132" spans="1:9" s="1" customFormat="1" ht="20.100000000000001" customHeight="1" thickBot="1" x14ac:dyDescent="0.3">
      <c r="A132" s="1372"/>
      <c r="B132" s="455">
        <v>2017</v>
      </c>
      <c r="C132" s="545"/>
      <c r="D132" s="537">
        <v>4</v>
      </c>
      <c r="E132" s="533"/>
      <c r="F132" s="539">
        <v>3.7</v>
      </c>
      <c r="G132" s="514"/>
      <c r="H132" s="547">
        <v>1</v>
      </c>
    </row>
    <row r="133" spans="1:9" ht="20.100000000000001" customHeight="1" thickBot="1" x14ac:dyDescent="0.3">
      <c r="A133" s="1372"/>
      <c r="B133" s="455">
        <v>2018</v>
      </c>
      <c r="C133" s="545"/>
      <c r="D133" s="537">
        <v>4</v>
      </c>
      <c r="E133" s="533"/>
      <c r="F133" s="539">
        <v>3.9</v>
      </c>
      <c r="G133" s="514"/>
      <c r="H133" s="547">
        <v>1</v>
      </c>
    </row>
    <row r="134" spans="1:9" ht="20.100000000000001" customHeight="1" thickBot="1" x14ac:dyDescent="0.3">
      <c r="A134" s="498"/>
      <c r="B134" s="455">
        <v>2019</v>
      </c>
      <c r="C134" s="545"/>
      <c r="D134" s="537">
        <v>4</v>
      </c>
      <c r="E134" s="742"/>
      <c r="F134" s="539">
        <v>3.51</v>
      </c>
      <c r="G134" s="741"/>
      <c r="H134" s="547">
        <v>4</v>
      </c>
    </row>
    <row r="135" spans="1:9" ht="20.100000000000001" customHeight="1" thickBot="1" x14ac:dyDescent="0.3">
      <c r="A135" s="498"/>
      <c r="B135" s="455">
        <v>2020</v>
      </c>
      <c r="C135" s="545"/>
      <c r="D135" s="537">
        <v>4</v>
      </c>
      <c r="E135" s="742"/>
      <c r="F135" s="539">
        <v>3.51</v>
      </c>
      <c r="G135" s="741"/>
      <c r="H135" s="547">
        <v>4</v>
      </c>
    </row>
    <row r="136" spans="1:9" ht="20.100000000000001" customHeight="1" thickBot="1" x14ac:dyDescent="0.3">
      <c r="A136" s="498"/>
      <c r="B136" s="455">
        <v>2021</v>
      </c>
      <c r="C136" s="545"/>
      <c r="D136" s="537">
        <v>4</v>
      </c>
      <c r="E136" s="742"/>
      <c r="F136" s="539">
        <v>3.51</v>
      </c>
      <c r="G136" s="741"/>
      <c r="H136" s="547">
        <v>4</v>
      </c>
    </row>
    <row r="137" spans="1:9" ht="20.100000000000001" customHeight="1" thickBot="1" x14ac:dyDescent="0.3">
      <c r="A137" s="498"/>
      <c r="B137" s="455">
        <v>2022</v>
      </c>
      <c r="C137" s="545"/>
      <c r="D137" s="537">
        <v>4</v>
      </c>
      <c r="E137" s="742"/>
      <c r="F137" s="539">
        <v>3.51</v>
      </c>
      <c r="G137" s="741"/>
      <c r="H137" s="547">
        <v>4</v>
      </c>
    </row>
    <row r="138" spans="1:9" ht="20.100000000000001" customHeight="1" thickBot="1" x14ac:dyDescent="0.3">
      <c r="A138" s="498"/>
      <c r="B138" s="455">
        <v>2023</v>
      </c>
      <c r="C138" s="545"/>
      <c r="D138" s="537">
        <v>4</v>
      </c>
      <c r="E138" s="742"/>
      <c r="F138" s="539">
        <v>3.51</v>
      </c>
      <c r="G138" s="741"/>
      <c r="H138" s="547">
        <v>4</v>
      </c>
    </row>
    <row r="139" spans="1:9" ht="20.100000000000001" customHeight="1" thickBot="1" x14ac:dyDescent="0.3">
      <c r="A139" s="498"/>
      <c r="B139" s="455">
        <v>2024</v>
      </c>
      <c r="C139" s="906"/>
      <c r="D139" s="907">
        <v>4</v>
      </c>
      <c r="E139" s="742"/>
      <c r="F139" s="908">
        <v>3.51</v>
      </c>
      <c r="G139" s="741"/>
      <c r="H139" s="909">
        <v>4</v>
      </c>
    </row>
    <row r="140" spans="1:9" ht="20.100000000000001" customHeight="1" x14ac:dyDescent="0.25">
      <c r="A140" s="498"/>
      <c r="C140" s="910"/>
      <c r="D140" s="911">
        <f t="shared" ref="D140:H140" si="6">+(D139-D128)/D128</f>
        <v>0</v>
      </c>
      <c r="E140" s="912"/>
      <c r="F140" s="913">
        <f t="shared" si="6"/>
        <v>0.21034482758620687</v>
      </c>
      <c r="G140" s="913"/>
      <c r="H140" s="913">
        <f t="shared" si="6"/>
        <v>3</v>
      </c>
      <c r="I140" s="781" t="s">
        <v>226</v>
      </c>
    </row>
    <row r="141" spans="1:9" ht="24.9" customHeight="1" thickBot="1" x14ac:dyDescent="0.3"/>
    <row r="142" spans="1:9" s="1" customFormat="1" ht="40.5" customHeight="1" thickBot="1" x14ac:dyDescent="0.3">
      <c r="A142" s="1372" t="s">
        <v>208</v>
      </c>
      <c r="B142" s="455"/>
      <c r="C142" s="501" t="s">
        <v>23</v>
      </c>
      <c r="D142" s="499" t="s">
        <v>24</v>
      </c>
      <c r="E142" s="499" t="s">
        <v>27</v>
      </c>
      <c r="F142" s="499" t="s">
        <v>26</v>
      </c>
      <c r="G142" s="499" t="s">
        <v>28</v>
      </c>
      <c r="H142" s="500" t="s">
        <v>29</v>
      </c>
    </row>
    <row r="143" spans="1:9" s="1" customFormat="1" ht="24.9" customHeight="1" thickBot="1" x14ac:dyDescent="0.3">
      <c r="A143" s="1372"/>
      <c r="B143" s="455">
        <v>2008</v>
      </c>
      <c r="C143" s="545"/>
      <c r="D143" s="525"/>
      <c r="E143" s="526"/>
      <c r="F143" s="531"/>
      <c r="G143" s="528"/>
      <c r="H143" s="546"/>
    </row>
    <row r="144" spans="1:9" s="1" customFormat="1" ht="24.9" customHeight="1" thickBot="1" x14ac:dyDescent="0.3">
      <c r="A144" s="1372"/>
      <c r="B144" s="455">
        <v>2009</v>
      </c>
      <c r="C144" s="545"/>
      <c r="D144" s="525"/>
      <c r="E144" s="526"/>
      <c r="F144" s="531"/>
      <c r="G144" s="528"/>
      <c r="H144" s="546"/>
    </row>
    <row r="145" spans="1:9" s="1" customFormat="1" ht="16.5" customHeight="1" thickBot="1" x14ac:dyDescent="0.3">
      <c r="A145" s="1372"/>
      <c r="B145" s="455">
        <v>2010</v>
      </c>
      <c r="C145" s="545"/>
      <c r="D145" s="525"/>
      <c r="E145" s="526"/>
      <c r="F145" s="531"/>
      <c r="G145" s="528"/>
      <c r="H145" s="546"/>
    </row>
    <row r="146" spans="1:9" s="8" customFormat="1" ht="13.8" thickBot="1" x14ac:dyDescent="0.3">
      <c r="A146" s="1372"/>
      <c r="B146" s="455">
        <v>2011</v>
      </c>
      <c r="C146" s="545"/>
      <c r="D146" s="525"/>
      <c r="E146" s="526"/>
      <c r="F146" s="531"/>
      <c r="G146" s="528"/>
      <c r="H146" s="546"/>
    </row>
    <row r="147" spans="1:9" s="8" customFormat="1" ht="13.8" thickBot="1" x14ac:dyDescent="0.3">
      <c r="A147" s="1372"/>
      <c r="B147" s="455">
        <v>2012</v>
      </c>
      <c r="C147" s="545"/>
      <c r="D147" s="525"/>
      <c r="E147" s="526"/>
      <c r="F147" s="531"/>
      <c r="G147" s="528"/>
      <c r="H147" s="546"/>
    </row>
    <row r="148" spans="1:9" s="1" customFormat="1" ht="24.9" customHeight="1" thickBot="1" x14ac:dyDescent="0.3">
      <c r="A148" s="1372"/>
      <c r="B148" s="455">
        <v>2013</v>
      </c>
      <c r="C148" s="545"/>
      <c r="D148" s="537"/>
      <c r="E148" s="533"/>
      <c r="F148" s="534"/>
      <c r="G148" s="514"/>
      <c r="H148" s="547"/>
    </row>
    <row r="149" spans="1:9" ht="24.9" customHeight="1" thickBot="1" x14ac:dyDescent="0.3">
      <c r="A149" s="1372"/>
      <c r="B149" s="455">
        <v>2014</v>
      </c>
      <c r="C149" s="545"/>
      <c r="D149" s="537"/>
      <c r="E149" s="533"/>
      <c r="F149" s="534"/>
      <c r="G149" s="514"/>
      <c r="H149" s="547"/>
    </row>
    <row r="150" spans="1:9" s="1" customFormat="1" ht="24.9" customHeight="1" thickBot="1" x14ac:dyDescent="0.3">
      <c r="A150" s="1372"/>
      <c r="B150" s="455">
        <v>2015</v>
      </c>
      <c r="C150" s="545"/>
      <c r="D150" s="537"/>
      <c r="E150" s="703"/>
      <c r="F150" s="534"/>
      <c r="G150" s="514"/>
      <c r="H150" s="547"/>
    </row>
    <row r="151" spans="1:9" ht="24.9" customHeight="1" thickBot="1" x14ac:dyDescent="0.3">
      <c r="A151" s="1372"/>
      <c r="B151" s="455">
        <v>2016</v>
      </c>
      <c r="C151" s="517">
        <v>7.8</v>
      </c>
      <c r="D151" s="537">
        <v>3</v>
      </c>
      <c r="E151" s="704">
        <v>6</v>
      </c>
      <c r="F151" s="534">
        <v>4</v>
      </c>
      <c r="G151" s="514">
        <v>4</v>
      </c>
      <c r="H151" s="547">
        <v>3</v>
      </c>
    </row>
    <row r="152" spans="1:9" ht="15" customHeight="1" thickBot="1" x14ac:dyDescent="0.3">
      <c r="A152" s="1372"/>
      <c r="B152" s="455">
        <v>2017</v>
      </c>
      <c r="C152" s="517">
        <v>8</v>
      </c>
      <c r="D152" s="537">
        <v>4</v>
      </c>
      <c r="E152" s="704">
        <v>7</v>
      </c>
      <c r="F152" s="534">
        <v>5</v>
      </c>
      <c r="G152" s="514">
        <v>5</v>
      </c>
      <c r="H152" s="547">
        <v>4</v>
      </c>
    </row>
    <row r="153" spans="1:9" s="1" customFormat="1" ht="24.9" customHeight="1" thickBot="1" x14ac:dyDescent="0.3">
      <c r="A153" s="456"/>
      <c r="B153" s="455">
        <v>2018</v>
      </c>
      <c r="C153" s="517">
        <v>8.3000000000000007</v>
      </c>
      <c r="D153" s="537">
        <v>5</v>
      </c>
      <c r="E153" s="704">
        <v>8</v>
      </c>
      <c r="F153" s="534">
        <v>6</v>
      </c>
      <c r="G153" s="514">
        <v>6</v>
      </c>
      <c r="H153" s="877">
        <v>5</v>
      </c>
    </row>
    <row r="154" spans="1:9" s="1" customFormat="1" ht="24.9" customHeight="1" thickBot="1" x14ac:dyDescent="0.3">
      <c r="A154" s="456"/>
      <c r="B154" s="455">
        <v>2019</v>
      </c>
      <c r="C154" s="517">
        <v>8.3000000000000007</v>
      </c>
      <c r="D154" s="537">
        <v>5</v>
      </c>
      <c r="E154" s="704">
        <v>8</v>
      </c>
      <c r="F154" s="534">
        <v>5.4</v>
      </c>
      <c r="G154" s="514">
        <v>6</v>
      </c>
      <c r="H154" s="877">
        <v>6</v>
      </c>
    </row>
    <row r="155" spans="1:9" s="1" customFormat="1" ht="24.9" customHeight="1" thickBot="1" x14ac:dyDescent="0.3">
      <c r="A155" s="456"/>
      <c r="B155" s="455">
        <v>2020</v>
      </c>
      <c r="C155" s="517">
        <v>8.3000000000000007</v>
      </c>
      <c r="D155" s="537">
        <v>5</v>
      </c>
      <c r="E155" s="704">
        <v>8</v>
      </c>
      <c r="F155" s="534">
        <v>5.4</v>
      </c>
      <c r="G155" s="514">
        <v>6</v>
      </c>
      <c r="H155" s="877">
        <v>6</v>
      </c>
    </row>
    <row r="156" spans="1:9" s="1" customFormat="1" ht="24.9" customHeight="1" thickBot="1" x14ac:dyDescent="0.3">
      <c r="A156" s="456"/>
      <c r="B156" s="455">
        <v>2021</v>
      </c>
      <c r="C156" s="517">
        <v>8.3000000000000007</v>
      </c>
      <c r="D156" s="537">
        <v>5</v>
      </c>
      <c r="E156" s="704">
        <v>8</v>
      </c>
      <c r="F156" s="534">
        <v>5.4</v>
      </c>
      <c r="G156" s="514">
        <v>6</v>
      </c>
      <c r="H156" s="877">
        <v>6</v>
      </c>
    </row>
    <row r="157" spans="1:9" s="1" customFormat="1" ht="24.9" customHeight="1" thickBot="1" x14ac:dyDescent="0.3">
      <c r="A157" s="456"/>
      <c r="B157" s="455">
        <v>2022</v>
      </c>
      <c r="C157" s="517">
        <v>8.3000000000000007</v>
      </c>
      <c r="D157" s="537">
        <v>5</v>
      </c>
      <c r="E157" s="704">
        <v>8</v>
      </c>
      <c r="F157" s="534">
        <v>5.4</v>
      </c>
      <c r="G157" s="514">
        <v>6</v>
      </c>
      <c r="H157" s="877">
        <v>6</v>
      </c>
    </row>
    <row r="158" spans="1:9" s="1" customFormat="1" ht="24.9" customHeight="1" thickBot="1" x14ac:dyDescent="0.3">
      <c r="A158" s="456"/>
      <c r="B158" s="455">
        <v>2023</v>
      </c>
      <c r="C158" s="517">
        <v>8.3000000000000007</v>
      </c>
      <c r="D158" s="537">
        <v>5</v>
      </c>
      <c r="E158" s="704">
        <v>8</v>
      </c>
      <c r="F158" s="534">
        <v>5.4</v>
      </c>
      <c r="G158" s="514">
        <v>6</v>
      </c>
      <c r="H158" s="877">
        <v>6</v>
      </c>
    </row>
    <row r="159" spans="1:9" s="1" customFormat="1" ht="24.9" customHeight="1" thickBot="1" x14ac:dyDescent="0.3">
      <c r="A159" s="456"/>
      <c r="B159" s="455">
        <v>2024</v>
      </c>
      <c r="C159" s="517">
        <v>8.3000000000000007</v>
      </c>
      <c r="D159" s="537">
        <v>5</v>
      </c>
      <c r="E159" s="704">
        <v>8</v>
      </c>
      <c r="F159" s="534">
        <v>5.4</v>
      </c>
      <c r="G159" s="514">
        <v>6</v>
      </c>
      <c r="H159" s="877">
        <v>6</v>
      </c>
    </row>
    <row r="160" spans="1:9" s="1" customFormat="1" ht="24.9" customHeight="1" x14ac:dyDescent="0.25">
      <c r="A160" s="456"/>
      <c r="B160" s="455"/>
      <c r="C160" s="755">
        <f>+(C159-C151)/C151</f>
        <v>6.4102564102564222E-2</v>
      </c>
      <c r="D160" s="755">
        <f t="shared" ref="D160:H160" si="7">+(D159-D151)/D151</f>
        <v>0.66666666666666663</v>
      </c>
      <c r="E160" s="755">
        <f t="shared" si="7"/>
        <v>0.33333333333333331</v>
      </c>
      <c r="F160" s="755">
        <f t="shared" si="7"/>
        <v>0.35000000000000009</v>
      </c>
      <c r="G160" s="755">
        <f t="shared" si="7"/>
        <v>0.5</v>
      </c>
      <c r="H160" s="755">
        <f t="shared" si="7"/>
        <v>1</v>
      </c>
      <c r="I160" s="781" t="s">
        <v>227</v>
      </c>
    </row>
    <row r="161" spans="1:8" ht="24.9" customHeight="1" thickBot="1" x14ac:dyDescent="0.3">
      <c r="E161" s="643"/>
    </row>
    <row r="162" spans="1:8" s="395" customFormat="1" ht="24.9" customHeight="1" thickBot="1" x14ac:dyDescent="0.3">
      <c r="A162" s="1372" t="s">
        <v>209</v>
      </c>
      <c r="B162" s="455"/>
      <c r="C162" s="501" t="s">
        <v>23</v>
      </c>
      <c r="D162" s="499" t="s">
        <v>24</v>
      </c>
      <c r="E162" s="644" t="s">
        <v>27</v>
      </c>
      <c r="F162" s="499" t="s">
        <v>26</v>
      </c>
      <c r="G162" s="499" t="s">
        <v>28</v>
      </c>
      <c r="H162" s="500" t="s">
        <v>29</v>
      </c>
    </row>
    <row r="163" spans="1:8" ht="24.9" customHeight="1" thickBot="1" x14ac:dyDescent="0.3">
      <c r="A163" s="1372"/>
      <c r="B163" s="455">
        <v>2008</v>
      </c>
      <c r="C163" s="545"/>
      <c r="D163" s="525"/>
      <c r="E163" s="645"/>
      <c r="F163" s="531"/>
      <c r="G163" s="528"/>
      <c r="H163" s="546"/>
    </row>
    <row r="164" spans="1:8" s="7" customFormat="1" ht="12.75" customHeight="1" thickBot="1" x14ac:dyDescent="0.3">
      <c r="A164" s="1372"/>
      <c r="B164" s="455">
        <v>2009</v>
      </c>
      <c r="C164" s="545"/>
      <c r="D164" s="525"/>
      <c r="E164" s="645"/>
      <c r="F164" s="531"/>
      <c r="G164" s="528"/>
      <c r="H164" s="546"/>
    </row>
    <row r="165" spans="1:8" ht="12.75" customHeight="1" thickBot="1" x14ac:dyDescent="0.3">
      <c r="A165" s="1372"/>
      <c r="B165" s="455">
        <v>2010</v>
      </c>
      <c r="C165" s="545"/>
      <c r="D165" s="525"/>
      <c r="E165" s="645"/>
      <c r="F165" s="531"/>
      <c r="G165" s="528"/>
      <c r="H165" s="546"/>
    </row>
    <row r="166" spans="1:8" s="1" customFormat="1" ht="24.9" customHeight="1" thickBot="1" x14ac:dyDescent="0.3">
      <c r="A166" s="1372"/>
      <c r="B166" s="455">
        <v>2011</v>
      </c>
      <c r="C166" s="545"/>
      <c r="D166" s="525"/>
      <c r="E166" s="645"/>
      <c r="F166" s="531"/>
      <c r="G166" s="528"/>
      <c r="H166" s="546"/>
    </row>
    <row r="167" spans="1:8" ht="24.9" customHeight="1" thickBot="1" x14ac:dyDescent="0.3">
      <c r="A167" s="1372"/>
      <c r="B167" s="455">
        <v>2012</v>
      </c>
      <c r="C167" s="545"/>
      <c r="D167" s="525"/>
      <c r="E167" s="645"/>
      <c r="F167" s="531"/>
      <c r="G167" s="528"/>
      <c r="H167" s="546"/>
    </row>
    <row r="168" spans="1:8" ht="12.75" customHeight="1" thickBot="1" x14ac:dyDescent="0.3">
      <c r="A168" s="1372"/>
      <c r="B168" s="455">
        <v>2013</v>
      </c>
      <c r="C168" s="545"/>
      <c r="D168" s="537"/>
      <c r="E168" s="642"/>
      <c r="F168" s="534"/>
      <c r="G168" s="514"/>
      <c r="H168" s="547"/>
    </row>
    <row r="169" spans="1:8" ht="24.9" customHeight="1" thickBot="1" x14ac:dyDescent="0.3">
      <c r="A169" s="1372"/>
      <c r="B169" s="455">
        <v>2014</v>
      </c>
      <c r="C169" s="545"/>
      <c r="D169" s="537"/>
      <c r="E169" s="642"/>
      <c r="F169" s="534"/>
      <c r="G169" s="514"/>
      <c r="H169" s="547"/>
    </row>
    <row r="170" spans="1:8" ht="39" customHeight="1" thickBot="1" x14ac:dyDescent="0.3">
      <c r="A170" s="1372"/>
      <c r="B170" s="455">
        <v>2015</v>
      </c>
      <c r="C170" s="545"/>
      <c r="D170" s="537"/>
      <c r="E170" s="642"/>
      <c r="F170" s="534"/>
      <c r="G170" s="514"/>
      <c r="H170" s="547"/>
    </row>
    <row r="171" spans="1:8" ht="24.9" customHeight="1" thickBot="1" x14ac:dyDescent="0.3">
      <c r="A171" s="1372"/>
      <c r="B171" s="455">
        <v>2016</v>
      </c>
      <c r="C171" s="545">
        <v>13</v>
      </c>
      <c r="D171" s="537">
        <v>3</v>
      </c>
      <c r="E171" s="536">
        <v>11</v>
      </c>
      <c r="F171" s="512">
        <v>6.64</v>
      </c>
      <c r="G171" s="514">
        <v>16.600000000000001</v>
      </c>
      <c r="H171" s="547">
        <v>3</v>
      </c>
    </row>
    <row r="172" spans="1:8" ht="24.9" customHeight="1" thickBot="1" x14ac:dyDescent="0.3">
      <c r="A172" s="1372"/>
      <c r="B172" s="455">
        <v>2017</v>
      </c>
      <c r="C172" s="545">
        <v>15</v>
      </c>
      <c r="D172" s="537">
        <v>4</v>
      </c>
      <c r="E172" s="536">
        <v>12</v>
      </c>
      <c r="F172" s="512">
        <v>8.3000000000000007</v>
      </c>
      <c r="G172" s="514">
        <v>16.600000000000001</v>
      </c>
      <c r="H172" s="547">
        <v>4</v>
      </c>
    </row>
    <row r="173" spans="1:8" ht="24.9" customHeight="1" thickBot="1" x14ac:dyDescent="0.3">
      <c r="A173" s="456"/>
      <c r="B173" s="455">
        <v>2018</v>
      </c>
      <c r="C173" s="545">
        <v>16.600000000000001</v>
      </c>
      <c r="D173" s="537">
        <v>5</v>
      </c>
      <c r="E173" s="536">
        <v>13</v>
      </c>
      <c r="F173" s="512">
        <v>9.9600000000000009</v>
      </c>
      <c r="G173" s="514">
        <v>16.600000000000001</v>
      </c>
      <c r="H173" s="877">
        <v>5</v>
      </c>
    </row>
    <row r="174" spans="1:8" ht="24.9" customHeight="1" thickBot="1" x14ac:dyDescent="0.3">
      <c r="A174" s="456"/>
      <c r="B174" s="455">
        <v>2019</v>
      </c>
      <c r="C174" s="545">
        <v>16.600000000000001</v>
      </c>
      <c r="D174" s="537">
        <v>5</v>
      </c>
      <c r="E174" s="536">
        <v>13</v>
      </c>
      <c r="F174" s="512">
        <v>8.9640000000000004</v>
      </c>
      <c r="G174" s="514">
        <v>16.600000000000001</v>
      </c>
      <c r="H174" s="877">
        <v>6</v>
      </c>
    </row>
    <row r="175" spans="1:8" ht="24.9" customHeight="1" thickBot="1" x14ac:dyDescent="0.3">
      <c r="A175" s="456"/>
      <c r="B175" s="455">
        <v>2020</v>
      </c>
      <c r="C175" s="545">
        <v>16.600000000000001</v>
      </c>
      <c r="D175" s="537">
        <v>5</v>
      </c>
      <c r="E175" s="536">
        <v>13</v>
      </c>
      <c r="F175" s="512">
        <v>8.9640000000000004</v>
      </c>
      <c r="G175" s="514">
        <v>16.600000000000001</v>
      </c>
      <c r="H175" s="877">
        <v>6</v>
      </c>
    </row>
    <row r="176" spans="1:8" ht="24.9" customHeight="1" thickBot="1" x14ac:dyDescent="0.3">
      <c r="A176" s="456"/>
      <c r="B176" s="455">
        <v>2021</v>
      </c>
      <c r="C176" s="545">
        <v>16.600000000000001</v>
      </c>
      <c r="D176" s="537">
        <v>5</v>
      </c>
      <c r="E176" s="536">
        <v>13</v>
      </c>
      <c r="F176" s="512">
        <v>8.9640000000000004</v>
      </c>
      <c r="G176" s="514">
        <v>16.600000000000001</v>
      </c>
      <c r="H176" s="877">
        <v>6</v>
      </c>
    </row>
    <row r="177" spans="1:9" ht="24.9" customHeight="1" thickBot="1" x14ac:dyDescent="0.3">
      <c r="A177" s="456"/>
      <c r="B177" s="455">
        <v>2022</v>
      </c>
      <c r="C177" s="545">
        <v>16.600000000000001</v>
      </c>
      <c r="D177" s="537">
        <v>5</v>
      </c>
      <c r="E177" s="536">
        <v>13</v>
      </c>
      <c r="F177" s="512">
        <v>8.9640000000000004</v>
      </c>
      <c r="G177" s="514">
        <v>16.600000000000001</v>
      </c>
      <c r="H177" s="877">
        <v>6</v>
      </c>
    </row>
    <row r="178" spans="1:9" ht="24.9" customHeight="1" thickBot="1" x14ac:dyDescent="0.3">
      <c r="A178" s="456"/>
      <c r="B178" s="455">
        <v>2023</v>
      </c>
      <c r="C178" s="545">
        <v>16.600000000000001</v>
      </c>
      <c r="D178" s="537">
        <v>5</v>
      </c>
      <c r="E178" s="536">
        <v>13</v>
      </c>
      <c r="F178" s="512">
        <v>8.9640000000000004</v>
      </c>
      <c r="G178" s="514">
        <v>16.600000000000001</v>
      </c>
      <c r="H178" s="877">
        <v>6</v>
      </c>
    </row>
    <row r="179" spans="1:9" ht="24.9" customHeight="1" thickBot="1" x14ac:dyDescent="0.3">
      <c r="A179" s="456"/>
      <c r="B179" s="455">
        <v>2024</v>
      </c>
      <c r="C179" s="545">
        <v>16.600000000000001</v>
      </c>
      <c r="D179" s="537">
        <v>5</v>
      </c>
      <c r="E179" s="536">
        <v>13</v>
      </c>
      <c r="F179" s="512">
        <v>8.9640000000000004</v>
      </c>
      <c r="G179" s="514">
        <v>16.600000000000001</v>
      </c>
      <c r="H179" s="877">
        <v>6</v>
      </c>
    </row>
    <row r="180" spans="1:9" ht="24.9" customHeight="1" x14ac:dyDescent="0.25">
      <c r="A180" s="456"/>
      <c r="C180" s="755">
        <f>+(C179-C171)/C171</f>
        <v>0.27692307692307705</v>
      </c>
      <c r="D180" s="755">
        <f t="shared" ref="D180:H180" si="8">+(D179-D171)/D171</f>
        <v>0.66666666666666663</v>
      </c>
      <c r="E180" s="755">
        <f t="shared" si="8"/>
        <v>0.18181818181818182</v>
      </c>
      <c r="F180" s="755">
        <f t="shared" si="8"/>
        <v>0.35000000000000014</v>
      </c>
      <c r="G180" s="755">
        <f t="shared" si="8"/>
        <v>0</v>
      </c>
      <c r="H180" s="755">
        <f t="shared" si="8"/>
        <v>1</v>
      </c>
      <c r="I180" s="781" t="s">
        <v>227</v>
      </c>
    </row>
    <row r="181" spans="1:9" ht="24.9" customHeight="1" x14ac:dyDescent="0.25"/>
    <row r="182" spans="1:9" ht="24.9" customHeight="1" x14ac:dyDescent="0.25"/>
    <row r="183" spans="1:9" ht="24.9" customHeight="1" x14ac:dyDescent="0.25"/>
    <row r="184" spans="1:9" ht="24.9" customHeight="1" x14ac:dyDescent="0.25"/>
    <row r="185" spans="1:9" ht="24.9" customHeight="1" x14ac:dyDescent="0.25">
      <c r="A185" s="456"/>
    </row>
    <row r="186" spans="1:9" ht="24.9" customHeight="1" x14ac:dyDescent="0.25"/>
    <row r="187" spans="1:9" ht="24.9" customHeight="1" x14ac:dyDescent="0.25"/>
    <row r="188" spans="1:9" ht="24.9" customHeight="1" x14ac:dyDescent="0.25"/>
    <row r="189" spans="1:9" ht="24.9" customHeight="1" x14ac:dyDescent="0.25"/>
    <row r="190" spans="1:9" ht="24.9" customHeight="1" x14ac:dyDescent="0.25">
      <c r="A190" s="456"/>
    </row>
    <row r="191" spans="1:9" ht="24.9" customHeight="1" x14ac:dyDescent="0.25"/>
    <row r="192" spans="1:9" ht="24.9" customHeight="1" x14ac:dyDescent="0.25"/>
    <row r="193" spans="1:1" ht="24.9" customHeight="1" x14ac:dyDescent="0.25"/>
    <row r="194" spans="1:1" ht="24.9" customHeight="1" x14ac:dyDescent="0.25">
      <c r="A194" s="456"/>
    </row>
    <row r="195" spans="1:1" ht="24.9" customHeight="1" x14ac:dyDescent="0.25"/>
    <row r="196" spans="1:1" ht="24.9" customHeight="1" x14ac:dyDescent="0.25"/>
    <row r="197" spans="1:1" ht="40.5" customHeight="1" x14ac:dyDescent="0.25"/>
    <row r="198" spans="1:1" ht="24.9" customHeight="1" x14ac:dyDescent="0.25"/>
    <row r="199" spans="1:1" ht="24.9" customHeight="1" x14ac:dyDescent="0.25"/>
    <row r="200" spans="1:1" ht="24.9" customHeight="1" x14ac:dyDescent="0.25">
      <c r="A200" s="456"/>
    </row>
    <row r="201" spans="1:1" ht="24.9" customHeight="1" x14ac:dyDescent="0.25"/>
    <row r="202" spans="1:1" ht="24.9" customHeight="1" x14ac:dyDescent="0.25"/>
    <row r="203" spans="1:1" ht="24.9" customHeight="1" x14ac:dyDescent="0.25"/>
    <row r="204" spans="1:1" ht="24.9" customHeight="1" x14ac:dyDescent="0.25"/>
    <row r="205" spans="1:1" ht="24.9" customHeight="1" x14ac:dyDescent="0.25"/>
    <row r="206" spans="1:1" ht="24.9" customHeight="1" x14ac:dyDescent="0.25">
      <c r="A206" s="456"/>
    </row>
    <row r="207" spans="1:1" ht="24.9" customHeight="1" x14ac:dyDescent="0.25"/>
    <row r="208" spans="1:1" ht="24.9" customHeight="1" x14ac:dyDescent="0.25"/>
    <row r="209" spans="1:1" ht="24.9" customHeight="1" x14ac:dyDescent="0.25"/>
    <row r="210" spans="1:1" ht="24.9" customHeight="1" x14ac:dyDescent="0.25"/>
    <row r="211" spans="1:1" ht="24.9" customHeight="1" x14ac:dyDescent="0.25">
      <c r="A211" s="456"/>
    </row>
    <row r="212" spans="1:1" ht="24.9" customHeight="1" x14ac:dyDescent="0.25"/>
    <row r="213" spans="1:1" ht="24.9" customHeight="1" x14ac:dyDescent="0.25"/>
    <row r="214" spans="1:1" ht="24.9" customHeight="1" x14ac:dyDescent="0.25"/>
    <row r="215" spans="1:1" ht="24.9" customHeight="1" x14ac:dyDescent="0.25">
      <c r="A215" s="456"/>
    </row>
    <row r="216" spans="1:1" ht="24.9" customHeight="1" x14ac:dyDescent="0.25"/>
    <row r="217" spans="1:1" ht="24.9" customHeight="1" x14ac:dyDescent="0.25"/>
    <row r="218" spans="1:1" ht="39" customHeight="1" x14ac:dyDescent="0.25"/>
    <row r="219" spans="1:1" ht="24.9" customHeight="1" x14ac:dyDescent="0.25"/>
    <row r="220" spans="1:1" ht="24.9" customHeight="1" x14ac:dyDescent="0.25"/>
    <row r="221" spans="1:1" ht="24.9" customHeight="1" x14ac:dyDescent="0.25">
      <c r="A221" s="456"/>
    </row>
    <row r="222" spans="1:1" ht="24.9" customHeight="1" x14ac:dyDescent="0.25"/>
    <row r="223" spans="1:1" ht="24.9" customHeight="1" x14ac:dyDescent="0.25"/>
    <row r="224" spans="1:1" ht="24.9" customHeight="1" x14ac:dyDescent="0.25"/>
    <row r="225" spans="1:1" ht="24.9" customHeight="1" x14ac:dyDescent="0.25"/>
    <row r="226" spans="1:1" ht="24.9" customHeight="1" x14ac:dyDescent="0.25"/>
    <row r="227" spans="1:1" ht="24.9" customHeight="1" x14ac:dyDescent="0.25">
      <c r="A227" s="456"/>
    </row>
    <row r="228" spans="1:1" ht="24.9" customHeight="1" x14ac:dyDescent="0.25"/>
    <row r="229" spans="1:1" ht="24.9" customHeight="1" x14ac:dyDescent="0.25"/>
    <row r="230" spans="1:1" ht="24.9" customHeight="1" x14ac:dyDescent="0.25"/>
    <row r="231" spans="1:1" ht="24.9" customHeight="1" x14ac:dyDescent="0.25"/>
    <row r="232" spans="1:1" ht="24.9" customHeight="1" x14ac:dyDescent="0.25">
      <c r="A232" s="456"/>
    </row>
    <row r="233" spans="1:1" ht="24.9" customHeight="1" x14ac:dyDescent="0.25"/>
    <row r="234" spans="1:1" ht="24.9" customHeight="1" x14ac:dyDescent="0.25"/>
    <row r="235" spans="1:1" ht="24.9" customHeight="1" x14ac:dyDescent="0.25"/>
    <row r="236" spans="1:1" ht="24.9" customHeight="1" x14ac:dyDescent="0.25">
      <c r="A236" s="456"/>
    </row>
    <row r="237" spans="1:1" ht="24.9" customHeight="1" x14ac:dyDescent="0.25"/>
    <row r="238" spans="1:1" ht="24.9" customHeight="1" x14ac:dyDescent="0.25"/>
    <row r="239" spans="1:1" ht="41.25" customHeight="1" x14ac:dyDescent="0.25"/>
    <row r="240" spans="1:1" ht="24.9" customHeight="1" x14ac:dyDescent="0.25"/>
    <row r="241" spans="1:1" ht="24.9" customHeight="1" x14ac:dyDescent="0.25"/>
    <row r="242" spans="1:1" ht="24.9" customHeight="1" x14ac:dyDescent="0.25">
      <c r="A242" s="456"/>
    </row>
    <row r="243" spans="1:1" ht="24.9" customHeight="1" x14ac:dyDescent="0.25"/>
    <row r="244" spans="1:1" ht="24.9" customHeight="1" x14ac:dyDescent="0.25"/>
    <row r="245" spans="1:1" ht="24.9" customHeight="1" x14ac:dyDescent="0.25"/>
    <row r="246" spans="1:1" ht="24.9" customHeight="1" x14ac:dyDescent="0.25"/>
    <row r="247" spans="1:1" ht="24.9" customHeight="1" x14ac:dyDescent="0.25"/>
    <row r="248" spans="1:1" ht="24.9" customHeight="1" x14ac:dyDescent="0.25">
      <c r="A248" s="456"/>
    </row>
    <row r="249" spans="1:1" ht="24.9" customHeight="1" x14ac:dyDescent="0.25"/>
    <row r="250" spans="1:1" ht="24.9" customHeight="1" x14ac:dyDescent="0.25"/>
    <row r="251" spans="1:1" ht="24.9" customHeight="1" x14ac:dyDescent="0.25"/>
    <row r="252" spans="1:1" ht="24.9" customHeight="1" x14ac:dyDescent="0.25"/>
    <row r="253" spans="1:1" ht="24.9" customHeight="1" x14ac:dyDescent="0.25">
      <c r="A253" s="456"/>
    </row>
    <row r="254" spans="1:1" ht="24.9" customHeight="1" x14ac:dyDescent="0.25"/>
    <row r="255" spans="1:1" ht="24.9" customHeight="1" x14ac:dyDescent="0.25"/>
    <row r="256" spans="1:1" ht="24.9" customHeight="1" x14ac:dyDescent="0.25"/>
    <row r="257" spans="1:1" ht="24.9" customHeight="1" x14ac:dyDescent="0.25">
      <c r="A257" s="456"/>
    </row>
    <row r="258" spans="1:1" ht="24.9" customHeight="1" x14ac:dyDescent="0.25"/>
    <row r="259" spans="1:1" ht="24.9" customHeight="1" x14ac:dyDescent="0.25"/>
    <row r="260" spans="1:1" ht="42.75" customHeight="1" x14ac:dyDescent="0.25"/>
    <row r="261" spans="1:1" ht="24.9" customHeight="1" x14ac:dyDescent="0.25"/>
    <row r="262" spans="1:1" ht="24.9" customHeight="1" x14ac:dyDescent="0.25"/>
    <row r="263" spans="1:1" ht="24.9" customHeight="1" x14ac:dyDescent="0.25">
      <c r="A263" s="456"/>
    </row>
    <row r="264" spans="1:1" ht="24.9" customHeight="1" x14ac:dyDescent="0.25"/>
    <row r="265" spans="1:1" ht="24.9" customHeight="1" x14ac:dyDescent="0.25"/>
    <row r="266" spans="1:1" ht="24.9" customHeight="1" x14ac:dyDescent="0.25"/>
    <row r="267" spans="1:1" ht="24.9" customHeight="1" x14ac:dyDescent="0.25"/>
    <row r="268" spans="1:1" ht="24.9" customHeight="1" x14ac:dyDescent="0.25"/>
    <row r="269" spans="1:1" ht="24.9" customHeight="1" x14ac:dyDescent="0.25">
      <c r="A269" s="456"/>
    </row>
    <row r="270" spans="1:1" ht="24.9" customHeight="1" x14ac:dyDescent="0.25"/>
    <row r="271" spans="1:1" ht="24.9" customHeight="1" x14ac:dyDescent="0.25"/>
    <row r="272" spans="1:1" ht="24.9" customHeight="1" x14ac:dyDescent="0.25"/>
    <row r="273" spans="1:1" ht="24.9" customHeight="1" x14ac:dyDescent="0.25"/>
    <row r="274" spans="1:1" ht="24.9" customHeight="1" x14ac:dyDescent="0.25">
      <c r="A274" s="456"/>
    </row>
    <row r="275" spans="1:1" ht="24.9" customHeight="1" x14ac:dyDescent="0.25"/>
    <row r="276" spans="1:1" ht="24.9" customHeight="1" x14ac:dyDescent="0.25"/>
    <row r="277" spans="1:1" ht="24.9" customHeight="1" x14ac:dyDescent="0.25"/>
    <row r="278" spans="1:1" ht="24.9" customHeight="1" x14ac:dyDescent="0.25">
      <c r="A278" s="456"/>
    </row>
    <row r="279" spans="1:1" ht="24.9" customHeight="1" x14ac:dyDescent="0.25"/>
    <row r="280" spans="1:1" ht="24.9" customHeight="1" x14ac:dyDescent="0.25"/>
    <row r="281" spans="1:1" ht="24.9" customHeight="1" x14ac:dyDescent="0.25"/>
    <row r="282" spans="1:1" ht="24.9" customHeight="1" x14ac:dyDescent="0.25"/>
    <row r="283" spans="1:1" ht="24.9" customHeight="1" x14ac:dyDescent="0.25"/>
    <row r="284" spans="1:1" ht="24.9" customHeight="1" x14ac:dyDescent="0.25"/>
    <row r="285" spans="1:1" ht="24.9" customHeight="1" x14ac:dyDescent="0.25"/>
    <row r="286" spans="1:1" ht="24.9" customHeight="1" x14ac:dyDescent="0.25"/>
    <row r="287" spans="1:1" ht="24.9" customHeight="1" x14ac:dyDescent="0.25"/>
    <row r="288" spans="1:1"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row r="395" ht="24.9" customHeight="1" x14ac:dyDescent="0.25"/>
    <row r="396" ht="24.9" customHeight="1" x14ac:dyDescent="0.25"/>
    <row r="397" ht="24.9" customHeight="1" x14ac:dyDescent="0.25"/>
    <row r="398" ht="24.9" customHeight="1" x14ac:dyDescent="0.25"/>
    <row r="399" ht="24.9" customHeight="1" x14ac:dyDescent="0.25"/>
    <row r="400" ht="24.9" customHeight="1" x14ac:dyDescent="0.25"/>
    <row r="401" ht="24.9" customHeight="1" x14ac:dyDescent="0.25"/>
    <row r="402" ht="24.9" customHeight="1" x14ac:dyDescent="0.25"/>
    <row r="403" ht="24.9" customHeight="1" x14ac:dyDescent="0.25"/>
    <row r="404" ht="24.9" customHeight="1" x14ac:dyDescent="0.25"/>
    <row r="405" ht="24.9" customHeight="1" x14ac:dyDescent="0.25"/>
    <row r="406" ht="24.9" customHeight="1" x14ac:dyDescent="0.25"/>
    <row r="407" ht="24.9" customHeight="1" x14ac:dyDescent="0.25"/>
    <row r="408" ht="24.9" customHeight="1" x14ac:dyDescent="0.25"/>
    <row r="409" ht="24.9" customHeight="1" x14ac:dyDescent="0.25"/>
    <row r="410" ht="24.9" customHeight="1" x14ac:dyDescent="0.25"/>
    <row r="411" ht="24.9" customHeight="1" x14ac:dyDescent="0.25"/>
    <row r="412" ht="24.9" customHeight="1" x14ac:dyDescent="0.25"/>
    <row r="413" ht="24.9" customHeight="1" x14ac:dyDescent="0.25"/>
    <row r="414" ht="24.9" customHeight="1" x14ac:dyDescent="0.25"/>
    <row r="415" ht="24.9" customHeight="1" x14ac:dyDescent="0.25"/>
    <row r="416" ht="24.9" customHeight="1" x14ac:dyDescent="0.25"/>
    <row r="417" ht="24.9" customHeight="1" x14ac:dyDescent="0.25"/>
    <row r="418" ht="24.9" customHeight="1" x14ac:dyDescent="0.25"/>
    <row r="419" ht="24.9" customHeight="1" x14ac:dyDescent="0.25"/>
    <row r="420" ht="24.9" customHeight="1" x14ac:dyDescent="0.25"/>
    <row r="421" ht="24.9" customHeight="1" x14ac:dyDescent="0.25"/>
    <row r="422" ht="24.9" customHeight="1" x14ac:dyDescent="0.25"/>
    <row r="423" ht="24.9" customHeight="1" x14ac:dyDescent="0.25"/>
    <row r="424" ht="24.9" customHeight="1" x14ac:dyDescent="0.25"/>
    <row r="425" ht="24.9" customHeight="1" x14ac:dyDescent="0.25"/>
    <row r="426" ht="24.9" customHeight="1" x14ac:dyDescent="0.25"/>
    <row r="427" ht="24.9" customHeight="1" x14ac:dyDescent="0.25"/>
    <row r="428" ht="24.9" customHeight="1" x14ac:dyDescent="0.25"/>
    <row r="429" ht="24.9" customHeight="1" x14ac:dyDescent="0.25"/>
    <row r="430" ht="24.9" customHeight="1" x14ac:dyDescent="0.25"/>
    <row r="431" ht="24.9" customHeight="1" x14ac:dyDescent="0.25"/>
    <row r="432" ht="24.9" customHeight="1" x14ac:dyDescent="0.25"/>
    <row r="433" ht="24.9" customHeight="1" x14ac:dyDescent="0.25"/>
    <row r="434" ht="24.9" customHeight="1" x14ac:dyDescent="0.25"/>
    <row r="435" ht="24.9" customHeight="1" x14ac:dyDescent="0.25"/>
    <row r="436" ht="24.9" customHeight="1" x14ac:dyDescent="0.25"/>
    <row r="437" ht="24.9" customHeight="1" x14ac:dyDescent="0.25"/>
    <row r="438" ht="24.9" customHeight="1" x14ac:dyDescent="0.25"/>
    <row r="439" ht="24.9" customHeight="1" x14ac:dyDescent="0.25"/>
    <row r="440" ht="24.9" customHeight="1" x14ac:dyDescent="0.25"/>
    <row r="441" ht="24.9" customHeight="1" x14ac:dyDescent="0.25"/>
    <row r="442" ht="24.9" customHeight="1" x14ac:dyDescent="0.25"/>
    <row r="443" ht="24.9" customHeight="1" x14ac:dyDescent="0.25"/>
    <row r="444" ht="24.9" customHeight="1" x14ac:dyDescent="0.25"/>
    <row r="445" ht="24.9" customHeight="1" x14ac:dyDescent="0.25"/>
    <row r="446" ht="24.9" customHeight="1" x14ac:dyDescent="0.25"/>
    <row r="447" ht="24.9" customHeight="1" x14ac:dyDescent="0.25"/>
    <row r="448" ht="24.9" customHeight="1" x14ac:dyDescent="0.25"/>
    <row r="449" ht="24.9" customHeight="1" x14ac:dyDescent="0.25"/>
    <row r="450" ht="24.9" customHeight="1" x14ac:dyDescent="0.25"/>
    <row r="451" ht="24.9" customHeight="1" x14ac:dyDescent="0.25"/>
    <row r="452" ht="24.9" customHeight="1" x14ac:dyDescent="0.25"/>
    <row r="453" ht="24.9" customHeight="1" x14ac:dyDescent="0.25"/>
    <row r="454" ht="24.9" customHeight="1" x14ac:dyDescent="0.25"/>
    <row r="455" ht="24.9" customHeight="1" x14ac:dyDescent="0.25"/>
    <row r="456" ht="24.9" customHeight="1" x14ac:dyDescent="0.25"/>
    <row r="457" ht="24.9" customHeight="1" x14ac:dyDescent="0.25"/>
    <row r="458" ht="24.9" customHeight="1" x14ac:dyDescent="0.25"/>
    <row r="459" ht="24.9" customHeight="1" x14ac:dyDescent="0.25"/>
    <row r="460" ht="24.9" customHeight="1" x14ac:dyDescent="0.25"/>
    <row r="461" ht="24.9" customHeight="1" x14ac:dyDescent="0.25"/>
    <row r="462" ht="24.9" customHeight="1" x14ac:dyDescent="0.25"/>
    <row r="463" ht="24.9" customHeight="1" x14ac:dyDescent="0.25"/>
    <row r="464" ht="24.9" customHeight="1" x14ac:dyDescent="0.25"/>
    <row r="465" ht="24.9" customHeight="1" x14ac:dyDescent="0.25"/>
    <row r="466" ht="24.9" customHeight="1" x14ac:dyDescent="0.25"/>
    <row r="467" ht="24.9" customHeight="1" x14ac:dyDescent="0.25"/>
    <row r="468" ht="24.9" customHeight="1" x14ac:dyDescent="0.25"/>
    <row r="469" ht="24.9" customHeight="1" x14ac:dyDescent="0.25"/>
    <row r="470" ht="24.9" customHeight="1" x14ac:dyDescent="0.25"/>
    <row r="471" ht="24.9" customHeight="1" x14ac:dyDescent="0.25"/>
    <row r="472" ht="24.9" customHeight="1" x14ac:dyDescent="0.25"/>
    <row r="473" ht="24.9" customHeight="1" x14ac:dyDescent="0.25"/>
    <row r="474" ht="24.9" customHeight="1" x14ac:dyDescent="0.25"/>
    <row r="475" ht="24.9" customHeight="1" x14ac:dyDescent="0.25"/>
    <row r="476" ht="24.9" customHeight="1" x14ac:dyDescent="0.25"/>
    <row r="477" ht="24.9" customHeight="1" x14ac:dyDescent="0.25"/>
    <row r="478" ht="24.9" customHeight="1" x14ac:dyDescent="0.25"/>
    <row r="479" ht="24.9" customHeight="1" x14ac:dyDescent="0.25"/>
    <row r="480" ht="24.9" customHeight="1" x14ac:dyDescent="0.25"/>
    <row r="481" ht="24.9" customHeight="1" x14ac:dyDescent="0.25"/>
    <row r="482" ht="24.9" customHeight="1" x14ac:dyDescent="0.25"/>
    <row r="483" ht="24.9" customHeight="1" x14ac:dyDescent="0.25"/>
    <row r="484" ht="24.9" customHeight="1" x14ac:dyDescent="0.25"/>
    <row r="485" ht="24.9" customHeight="1" x14ac:dyDescent="0.25"/>
    <row r="486" ht="24.9" customHeight="1" x14ac:dyDescent="0.25"/>
    <row r="487" ht="24.9" customHeight="1" x14ac:dyDescent="0.25"/>
    <row r="488" ht="24.9" customHeight="1" x14ac:dyDescent="0.25"/>
    <row r="489" ht="24.9" customHeight="1" x14ac:dyDescent="0.25"/>
    <row r="490" ht="24.9" customHeight="1" x14ac:dyDescent="0.25"/>
    <row r="491" ht="24.9" customHeight="1" x14ac:dyDescent="0.25"/>
    <row r="492" ht="24.9" customHeight="1" x14ac:dyDescent="0.25"/>
    <row r="493" ht="24.9" customHeight="1" x14ac:dyDescent="0.25"/>
    <row r="494" ht="24.9" customHeight="1" x14ac:dyDescent="0.25"/>
    <row r="495" ht="24.9" customHeight="1" x14ac:dyDescent="0.25"/>
    <row r="496" ht="24.9" customHeight="1" x14ac:dyDescent="0.25"/>
    <row r="497" ht="24.9" customHeight="1" x14ac:dyDescent="0.25"/>
    <row r="498" ht="24.9" customHeight="1" x14ac:dyDescent="0.25"/>
    <row r="499" ht="24.9" customHeight="1" x14ac:dyDescent="0.25"/>
    <row r="500" ht="24.9" customHeight="1" x14ac:dyDescent="0.25"/>
    <row r="501" ht="24.9" customHeight="1" x14ac:dyDescent="0.25"/>
    <row r="502" ht="24.9" customHeight="1" x14ac:dyDescent="0.25"/>
    <row r="503" ht="24.9" customHeight="1" x14ac:dyDescent="0.25"/>
    <row r="504" ht="24.9" customHeight="1" x14ac:dyDescent="0.25"/>
    <row r="505" ht="24.9" customHeight="1" x14ac:dyDescent="0.25"/>
    <row r="506" ht="24.9" customHeight="1" x14ac:dyDescent="0.25"/>
    <row r="507" ht="24.9" customHeight="1" x14ac:dyDescent="0.25"/>
    <row r="508" ht="24.9" customHeight="1" x14ac:dyDescent="0.25"/>
    <row r="509" ht="24.9" customHeight="1" x14ac:dyDescent="0.25"/>
    <row r="510" ht="24.9" customHeight="1" x14ac:dyDescent="0.25"/>
    <row r="511" ht="24.9" customHeight="1" x14ac:dyDescent="0.25"/>
    <row r="512" ht="24.9" customHeight="1" x14ac:dyDescent="0.25"/>
    <row r="513" ht="24.9" customHeight="1" x14ac:dyDescent="0.25"/>
    <row r="514" ht="24.9" customHeight="1" x14ac:dyDescent="0.25"/>
    <row r="515" ht="24.9" customHeight="1" x14ac:dyDescent="0.25"/>
    <row r="516" ht="24.9" customHeight="1" x14ac:dyDescent="0.25"/>
    <row r="517" ht="24.9" customHeight="1" x14ac:dyDescent="0.25"/>
    <row r="518" ht="24.9" customHeight="1" x14ac:dyDescent="0.25"/>
    <row r="519" ht="24.9" customHeight="1" x14ac:dyDescent="0.25"/>
    <row r="520" ht="24.9" customHeight="1" x14ac:dyDescent="0.25"/>
    <row r="521" ht="24.9" customHeight="1" x14ac:dyDescent="0.25"/>
    <row r="522" ht="24.9" customHeight="1" x14ac:dyDescent="0.25"/>
    <row r="523" ht="24.9" customHeight="1" x14ac:dyDescent="0.25"/>
    <row r="524" ht="24.9" customHeight="1" x14ac:dyDescent="0.25"/>
    <row r="525" ht="24.9" customHeight="1" x14ac:dyDescent="0.25"/>
    <row r="526" ht="24.9" customHeight="1" x14ac:dyDescent="0.25"/>
    <row r="527" ht="24.9" customHeight="1" x14ac:dyDescent="0.25"/>
    <row r="528" ht="24.9" customHeight="1" x14ac:dyDescent="0.25"/>
    <row r="529" ht="24.9" customHeight="1" x14ac:dyDescent="0.25"/>
    <row r="530" ht="24.9" customHeight="1" x14ac:dyDescent="0.25"/>
    <row r="531" ht="24.9" customHeight="1" x14ac:dyDescent="0.25"/>
    <row r="532" ht="24.9" customHeight="1" x14ac:dyDescent="0.25"/>
    <row r="533" ht="24.9" customHeight="1" x14ac:dyDescent="0.25"/>
    <row r="534" ht="24.9" customHeight="1" x14ac:dyDescent="0.25"/>
    <row r="535" ht="24.9" customHeight="1" x14ac:dyDescent="0.25"/>
    <row r="536" ht="24.9" customHeight="1" x14ac:dyDescent="0.25"/>
    <row r="537" ht="24.9" customHeight="1" x14ac:dyDescent="0.25"/>
    <row r="538" ht="24.9" customHeight="1" x14ac:dyDescent="0.25"/>
    <row r="539" ht="24.9" customHeight="1" x14ac:dyDescent="0.25"/>
    <row r="540" ht="24.9" customHeight="1" x14ac:dyDescent="0.25"/>
    <row r="541" ht="24.9" customHeight="1" x14ac:dyDescent="0.25"/>
    <row r="542" ht="24.9" customHeight="1" x14ac:dyDescent="0.25"/>
    <row r="543" ht="24.9" customHeight="1" x14ac:dyDescent="0.25"/>
    <row r="544" ht="24.9" customHeight="1" x14ac:dyDescent="0.25"/>
    <row r="545" ht="24.9" customHeight="1" x14ac:dyDescent="0.25"/>
    <row r="546" ht="24.9" customHeight="1" x14ac:dyDescent="0.25"/>
    <row r="547" ht="24.9" customHeight="1" x14ac:dyDescent="0.25"/>
    <row r="548" ht="24.9" customHeight="1" x14ac:dyDescent="0.25"/>
    <row r="549" ht="24.9" customHeight="1" x14ac:dyDescent="0.25"/>
    <row r="550" ht="24.9" customHeight="1" x14ac:dyDescent="0.25"/>
  </sheetData>
  <mergeCells count="9">
    <mergeCell ref="A142:A152"/>
    <mergeCell ref="A162:A172"/>
    <mergeCell ref="A3:A13"/>
    <mergeCell ref="A23:A33"/>
    <mergeCell ref="A123:A133"/>
    <mergeCell ref="A103:A113"/>
    <mergeCell ref="A83:A93"/>
    <mergeCell ref="A63:A73"/>
    <mergeCell ref="A43:A53"/>
  </mergeCells>
  <pageMargins left="0" right="0" top="0" bottom="0" header="0" footer="0"/>
  <pageSetup paperSize="9" scale="8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95"/>
  <sheetViews>
    <sheetView showZeros="0" topLeftCell="Q1" workbookViewId="0">
      <selection activeCell="Z16" sqref="Z16"/>
    </sheetView>
  </sheetViews>
  <sheetFormatPr baseColWidth="10" defaultColWidth="11.44140625" defaultRowHeight="13.2" x14ac:dyDescent="0.25"/>
  <cols>
    <col min="1" max="1" width="6.5546875" style="3" customWidth="1"/>
    <col min="2" max="2" width="14" style="3" customWidth="1"/>
    <col min="3" max="3" width="8" style="13" customWidth="1"/>
    <col min="4" max="9" width="11.44140625" style="13"/>
    <col min="10" max="10" width="14.6640625" style="13" customWidth="1"/>
    <col min="11" max="17" width="11.44140625" style="3"/>
    <col min="18" max="18" width="11.44140625" style="13"/>
    <col min="19" max="19" width="14.6640625" style="13" customWidth="1"/>
    <col min="20" max="16384" width="11.44140625" style="3"/>
  </cols>
  <sheetData>
    <row r="1" spans="1:25" x14ac:dyDescent="0.25">
      <c r="J1" s="375"/>
      <c r="S1" s="375"/>
    </row>
    <row r="2" spans="1:25" s="1" customFormat="1" ht="24.9" customHeight="1" thickBot="1" x14ac:dyDescent="0.3">
      <c r="A2" s="397" t="s">
        <v>168</v>
      </c>
      <c r="B2" s="397"/>
      <c r="C2" s="2"/>
      <c r="D2" s="2"/>
      <c r="E2" s="2"/>
      <c r="F2" s="2"/>
      <c r="G2" s="2"/>
      <c r="H2" s="2"/>
      <c r="I2" s="2"/>
      <c r="J2" s="376"/>
      <c r="R2" s="2"/>
      <c r="S2" s="376"/>
    </row>
    <row r="3" spans="1:25" s="1" customFormat="1" ht="40.5" customHeight="1" thickBot="1" x14ac:dyDescent="0.3">
      <c r="A3" s="54"/>
      <c r="B3" s="412" t="s">
        <v>202</v>
      </c>
      <c r="C3" s="104">
        <v>2008</v>
      </c>
      <c r="D3" s="104">
        <v>2009</v>
      </c>
      <c r="E3" s="105">
        <v>2010</v>
      </c>
      <c r="F3" s="105">
        <v>2011</v>
      </c>
      <c r="G3" s="105">
        <v>2012</v>
      </c>
      <c r="H3" s="2"/>
      <c r="I3" s="635"/>
      <c r="J3" s="636"/>
      <c r="K3" s="329">
        <v>2013</v>
      </c>
      <c r="L3" s="105">
        <v>2014</v>
      </c>
      <c r="M3" s="105">
        <v>2015</v>
      </c>
      <c r="N3" s="105">
        <v>2016</v>
      </c>
      <c r="O3" s="105">
        <v>2017</v>
      </c>
      <c r="P3" s="105">
        <v>2018</v>
      </c>
      <c r="R3" s="635"/>
      <c r="S3" s="636"/>
      <c r="T3" s="105">
        <v>2019</v>
      </c>
      <c r="U3" s="105">
        <v>2020</v>
      </c>
      <c r="V3" s="105">
        <v>2021</v>
      </c>
      <c r="W3" s="105">
        <v>2022</v>
      </c>
      <c r="X3" s="105">
        <v>2023</v>
      </c>
      <c r="Y3" s="105">
        <v>2024</v>
      </c>
    </row>
    <row r="4" spans="1:25" s="1" customFormat="1" ht="24.9" customHeight="1" thickBot="1" x14ac:dyDescent="0.3">
      <c r="A4" s="17" t="s">
        <v>23</v>
      </c>
      <c r="B4" s="128"/>
      <c r="C4" s="106"/>
      <c r="D4" s="107"/>
      <c r="E4" s="107"/>
      <c r="F4" s="107"/>
      <c r="G4" s="107"/>
      <c r="H4" s="2"/>
      <c r="I4" s="1223" t="s">
        <v>71</v>
      </c>
      <c r="J4" s="637" t="s">
        <v>210</v>
      </c>
      <c r="K4" s="367">
        <v>0.24</v>
      </c>
      <c r="L4" s="367">
        <v>0.24</v>
      </c>
      <c r="M4" s="107">
        <v>0.22</v>
      </c>
      <c r="N4" s="107">
        <v>0.22</v>
      </c>
      <c r="O4" s="107">
        <v>0.22</v>
      </c>
      <c r="P4" s="107">
        <v>0.22</v>
      </c>
      <c r="R4" s="1223" t="s">
        <v>71</v>
      </c>
      <c r="S4" s="637" t="s">
        <v>210</v>
      </c>
      <c r="T4" s="107">
        <v>0.22</v>
      </c>
      <c r="U4" s="107">
        <v>0.22</v>
      </c>
      <c r="V4" s="107">
        <v>0.22</v>
      </c>
      <c r="W4" s="107">
        <v>0.22</v>
      </c>
      <c r="X4" s="107">
        <v>0.22</v>
      </c>
      <c r="Y4" s="107">
        <v>0.22</v>
      </c>
    </row>
    <row r="5" spans="1:25" s="1" customFormat="1" ht="24.9" customHeight="1" thickBot="1" x14ac:dyDescent="0.3">
      <c r="A5" s="579"/>
      <c r="B5" s="181"/>
      <c r="C5" s="106"/>
      <c r="D5" s="107"/>
      <c r="E5" s="107"/>
      <c r="F5" s="107"/>
      <c r="G5" s="107"/>
      <c r="H5" s="2"/>
      <c r="I5" s="1224"/>
      <c r="J5" s="637" t="s">
        <v>211</v>
      </c>
      <c r="K5" s="367">
        <v>0.37</v>
      </c>
      <c r="L5" s="367">
        <v>0.38</v>
      </c>
      <c r="M5" s="367">
        <v>0.38</v>
      </c>
      <c r="N5" s="367">
        <v>0.38</v>
      </c>
      <c r="O5" s="367">
        <v>0.38</v>
      </c>
      <c r="P5" s="107">
        <v>0.38</v>
      </c>
      <c r="R5" s="1224"/>
      <c r="S5" s="637" t="s">
        <v>211</v>
      </c>
      <c r="T5" s="107">
        <v>0.38</v>
      </c>
      <c r="U5" s="107">
        <v>0.38</v>
      </c>
      <c r="V5" s="107">
        <v>0.38</v>
      </c>
      <c r="W5" s="107">
        <v>0.38</v>
      </c>
      <c r="X5" s="107">
        <v>0.38</v>
      </c>
      <c r="Y5" s="107">
        <v>0.38</v>
      </c>
    </row>
    <row r="6" spans="1:25" s="1" customFormat="1" ht="24.9" customHeight="1" thickBot="1" x14ac:dyDescent="0.3">
      <c r="A6" s="579"/>
      <c r="B6" s="181"/>
      <c r="C6" s="106"/>
      <c r="D6" s="107"/>
      <c r="E6" s="107"/>
      <c r="F6" s="107"/>
      <c r="G6" s="107"/>
      <c r="H6" s="2"/>
      <c r="I6" s="1225"/>
      <c r="J6" s="637" t="s">
        <v>212</v>
      </c>
      <c r="K6" s="367">
        <v>0.4</v>
      </c>
      <c r="L6" s="367">
        <v>0.4</v>
      </c>
      <c r="M6" s="107">
        <v>0.41</v>
      </c>
      <c r="N6" s="107">
        <v>0.41499999999999998</v>
      </c>
      <c r="O6" s="107">
        <v>0.42</v>
      </c>
      <c r="P6" s="107">
        <v>0.42</v>
      </c>
      <c r="R6" s="1225"/>
      <c r="S6" s="637" t="s">
        <v>212</v>
      </c>
      <c r="T6" s="107">
        <v>0.42</v>
      </c>
      <c r="U6" s="107">
        <v>0.42</v>
      </c>
      <c r="V6" s="107">
        <v>0.42</v>
      </c>
      <c r="W6" s="107">
        <v>0.42</v>
      </c>
      <c r="X6" s="107">
        <v>0.42</v>
      </c>
      <c r="Y6" s="107">
        <v>0.42</v>
      </c>
    </row>
    <row r="7" spans="1:25" s="1" customFormat="1" ht="24.9" customHeight="1" thickBot="1" x14ac:dyDescent="0.3">
      <c r="A7" s="579" t="s">
        <v>24</v>
      </c>
      <c r="B7" s="181"/>
      <c r="C7" s="108"/>
      <c r="D7" s="108"/>
      <c r="E7" s="108">
        <v>0.19</v>
      </c>
      <c r="F7" s="108">
        <v>0.21</v>
      </c>
      <c r="G7" s="108"/>
      <c r="H7" s="2"/>
      <c r="I7" s="58" t="s">
        <v>24</v>
      </c>
      <c r="J7" s="637"/>
      <c r="K7" s="368">
        <v>0.3</v>
      </c>
      <c r="L7" s="108">
        <v>0.30499999999999999</v>
      </c>
      <c r="M7" s="108">
        <v>0.31</v>
      </c>
      <c r="N7" s="108">
        <v>0.315</v>
      </c>
      <c r="O7" s="108">
        <v>0.32</v>
      </c>
      <c r="P7" s="108">
        <v>0.33</v>
      </c>
      <c r="R7" s="58" t="s">
        <v>24</v>
      </c>
      <c r="S7" s="714"/>
      <c r="T7" s="368">
        <v>0.33</v>
      </c>
      <c r="U7" s="368">
        <v>0.33</v>
      </c>
      <c r="V7" s="368">
        <v>0.33</v>
      </c>
      <c r="W7" s="368">
        <v>0.33</v>
      </c>
      <c r="X7" s="368">
        <v>0.33</v>
      </c>
      <c r="Y7" s="368">
        <v>0.33</v>
      </c>
    </row>
    <row r="8" spans="1:25" s="1" customFormat="1" ht="24.9" customHeight="1" thickBot="1" x14ac:dyDescent="0.3">
      <c r="A8" s="1191" t="s">
        <v>27</v>
      </c>
      <c r="B8" s="128" t="s">
        <v>16</v>
      </c>
      <c r="C8" s="109"/>
      <c r="D8" s="109"/>
      <c r="E8" s="109"/>
      <c r="F8" s="109"/>
      <c r="G8" s="295"/>
      <c r="H8" s="556"/>
      <c r="I8" s="1221" t="s">
        <v>27</v>
      </c>
      <c r="J8" s="17" t="s">
        <v>16</v>
      </c>
      <c r="K8" s="634">
        <v>0.24</v>
      </c>
      <c r="L8" s="109">
        <v>0.24</v>
      </c>
      <c r="M8" s="109">
        <v>0.24</v>
      </c>
      <c r="N8" s="109">
        <v>0.23</v>
      </c>
      <c r="O8" s="109">
        <v>0.23</v>
      </c>
      <c r="P8" s="109">
        <v>0.23</v>
      </c>
      <c r="R8" s="1221" t="s">
        <v>27</v>
      </c>
      <c r="S8" s="17" t="s">
        <v>16</v>
      </c>
      <c r="T8" s="634">
        <v>0.23</v>
      </c>
      <c r="U8" s="634">
        <v>0.23</v>
      </c>
      <c r="V8" s="634">
        <v>0.23</v>
      </c>
      <c r="W8" s="634">
        <v>0.23</v>
      </c>
      <c r="X8" s="634">
        <v>0.23</v>
      </c>
      <c r="Y8" s="634">
        <v>0.23</v>
      </c>
    </row>
    <row r="9" spans="1:25" s="1" customFormat="1" ht="24.9" customHeight="1" thickBot="1" x14ac:dyDescent="0.3">
      <c r="A9" s="1193"/>
      <c r="B9" s="128" t="s">
        <v>17</v>
      </c>
      <c r="C9" s="109"/>
      <c r="D9" s="109"/>
      <c r="E9" s="109"/>
      <c r="F9" s="109"/>
      <c r="G9" s="295"/>
      <c r="H9" s="556"/>
      <c r="I9" s="1222"/>
      <c r="J9" s="17" t="s">
        <v>17</v>
      </c>
      <c r="K9" s="369">
        <v>0.31</v>
      </c>
      <c r="L9" s="369">
        <v>0.31</v>
      </c>
      <c r="M9" s="369">
        <v>0.31</v>
      </c>
      <c r="N9" s="295">
        <v>0.3</v>
      </c>
      <c r="O9" s="295">
        <v>0.3</v>
      </c>
      <c r="P9" s="295">
        <v>0.3</v>
      </c>
      <c r="R9" s="1222"/>
      <c r="S9" s="17" t="s">
        <v>17</v>
      </c>
      <c r="T9" s="369">
        <v>0.3</v>
      </c>
      <c r="U9" s="369">
        <v>0.3</v>
      </c>
      <c r="V9" s="369">
        <v>0.3</v>
      </c>
      <c r="W9" s="369">
        <v>0.3</v>
      </c>
      <c r="X9" s="369">
        <v>0.3</v>
      </c>
      <c r="Y9" s="369">
        <v>0.3</v>
      </c>
    </row>
    <row r="10" spans="1:25" s="1" customFormat="1" ht="24.9" customHeight="1" thickBot="1" x14ac:dyDescent="0.3">
      <c r="A10" s="1191" t="s">
        <v>26</v>
      </c>
      <c r="B10" s="622" t="s">
        <v>203</v>
      </c>
      <c r="C10" s="110">
        <v>0.315</v>
      </c>
      <c r="D10" s="110">
        <v>0.32500000000000001</v>
      </c>
      <c r="E10" s="110">
        <v>0.33500000000000002</v>
      </c>
      <c r="F10" s="110">
        <v>0.35</v>
      </c>
      <c r="G10" s="110">
        <v>0.36499999999999999</v>
      </c>
      <c r="H10" s="2"/>
      <c r="I10" s="1226" t="s">
        <v>26</v>
      </c>
      <c r="J10" s="638"/>
      <c r="K10" s="620"/>
      <c r="L10" s="621"/>
      <c r="M10" s="105"/>
      <c r="N10" s="105"/>
      <c r="O10" s="105"/>
      <c r="P10" s="105"/>
      <c r="R10" s="1226" t="s">
        <v>26</v>
      </c>
      <c r="S10" s="1212"/>
      <c r="T10" s="1214">
        <v>0.35</v>
      </c>
      <c r="U10" s="1216">
        <v>0.35</v>
      </c>
      <c r="V10" s="1216">
        <v>0.35</v>
      </c>
      <c r="W10" s="1216">
        <v>0.35</v>
      </c>
      <c r="X10" s="1216">
        <v>0.35</v>
      </c>
      <c r="Y10" s="1216">
        <v>0.35</v>
      </c>
    </row>
    <row r="11" spans="1:25" s="1" customFormat="1" ht="24.9" customHeight="1" thickBot="1" x14ac:dyDescent="0.3">
      <c r="A11" s="1193"/>
      <c r="B11" s="578" t="s">
        <v>204</v>
      </c>
      <c r="C11" s="110">
        <v>6.3E-2</v>
      </c>
      <c r="D11" s="110">
        <v>0.13</v>
      </c>
      <c r="E11" s="110">
        <v>0.20100000000000001</v>
      </c>
      <c r="F11" s="110">
        <v>0.28000000000000003</v>
      </c>
      <c r="G11" s="110">
        <v>0.36499999999999999</v>
      </c>
      <c r="H11" s="2"/>
      <c r="I11" s="1227"/>
      <c r="J11" s="17"/>
      <c r="K11" s="370">
        <v>0.36199999999999999</v>
      </c>
      <c r="L11" s="110">
        <v>0.375</v>
      </c>
      <c r="M11" s="110">
        <v>0.38800000000000001</v>
      </c>
      <c r="N11" s="110">
        <v>0.38800000000000001</v>
      </c>
      <c r="O11" s="110">
        <v>0.38800000000000001</v>
      </c>
      <c r="P11" s="110">
        <v>0.38800000000000001</v>
      </c>
      <c r="R11" s="1227"/>
      <c r="S11" s="1213"/>
      <c r="T11" s="1215"/>
      <c r="U11" s="1217"/>
      <c r="V11" s="1217"/>
      <c r="W11" s="1217"/>
      <c r="X11" s="1217"/>
      <c r="Y11" s="1217"/>
    </row>
    <row r="12" spans="1:25" s="1" customFormat="1" ht="24.9" customHeight="1" thickBot="1" x14ac:dyDescent="0.3">
      <c r="A12" s="1191" t="s">
        <v>28</v>
      </c>
      <c r="B12" s="128" t="s">
        <v>205</v>
      </c>
      <c r="C12" s="111"/>
      <c r="D12" s="111"/>
      <c r="E12" s="111"/>
      <c r="F12" s="111"/>
      <c r="G12" s="111"/>
      <c r="H12" s="2"/>
      <c r="I12" s="1223" t="s">
        <v>28</v>
      </c>
      <c r="J12" s="17" t="s">
        <v>205</v>
      </c>
      <c r="K12" s="371">
        <v>0.42</v>
      </c>
      <c r="L12" s="111">
        <v>0.40699999999999997</v>
      </c>
      <c r="M12" s="111">
        <v>0.39500000000000002</v>
      </c>
      <c r="N12" s="111">
        <v>0.35</v>
      </c>
      <c r="O12" s="111">
        <v>0.35</v>
      </c>
      <c r="P12" s="111">
        <v>0.35</v>
      </c>
      <c r="R12" s="1223" t="s">
        <v>28</v>
      </c>
      <c r="S12" s="947"/>
      <c r="T12" s="1218">
        <v>0.35</v>
      </c>
      <c r="U12" s="1209">
        <v>0.35</v>
      </c>
      <c r="V12" s="1209">
        <v>0.35</v>
      </c>
      <c r="W12" s="1209">
        <v>0.35</v>
      </c>
      <c r="X12" s="1209">
        <v>0.35</v>
      </c>
      <c r="Y12" s="1209">
        <v>0.35</v>
      </c>
    </row>
    <row r="13" spans="1:25" s="1" customFormat="1" ht="24.9" customHeight="1" thickBot="1" x14ac:dyDescent="0.3">
      <c r="A13" s="1192"/>
      <c r="B13" s="633" t="s">
        <v>206</v>
      </c>
      <c r="C13" s="111"/>
      <c r="D13" s="111"/>
      <c r="E13" s="111"/>
      <c r="F13" s="111"/>
      <c r="G13" s="111"/>
      <c r="H13" s="2"/>
      <c r="I13" s="1224"/>
      <c r="J13" s="639" t="s">
        <v>206</v>
      </c>
      <c r="K13" s="371">
        <v>0.35599999999999998</v>
      </c>
      <c r="L13" s="111">
        <v>0.35899999999999999</v>
      </c>
      <c r="M13" s="111">
        <v>0.36299999999999999</v>
      </c>
      <c r="N13" s="111">
        <v>0.35</v>
      </c>
      <c r="O13" s="111">
        <v>0.35</v>
      </c>
      <c r="P13" s="111">
        <v>0.35</v>
      </c>
      <c r="R13" s="1224"/>
      <c r="S13" s="957"/>
      <c r="T13" s="1219"/>
      <c r="U13" s="1210"/>
      <c r="V13" s="1210"/>
      <c r="W13" s="1210"/>
      <c r="X13" s="1210"/>
      <c r="Y13" s="1210"/>
    </row>
    <row r="14" spans="1:25" s="1" customFormat="1" ht="24.9" customHeight="1" thickBot="1" x14ac:dyDescent="0.3">
      <c r="A14" s="1193"/>
      <c r="B14" s="128" t="s">
        <v>207</v>
      </c>
      <c r="C14" s="111"/>
      <c r="D14" s="111"/>
      <c r="E14" s="111"/>
      <c r="F14" s="111"/>
      <c r="G14" s="111"/>
      <c r="H14" s="2"/>
      <c r="I14" s="1225"/>
      <c r="J14" s="17" t="s">
        <v>207</v>
      </c>
      <c r="K14" s="371">
        <v>0.28999999999999998</v>
      </c>
      <c r="L14" s="111">
        <v>0.31</v>
      </c>
      <c r="M14" s="111">
        <v>0.33</v>
      </c>
      <c r="N14" s="111">
        <v>0.35</v>
      </c>
      <c r="O14" s="111">
        <v>0.35</v>
      </c>
      <c r="P14" s="111">
        <v>0.35</v>
      </c>
      <c r="R14" s="1225"/>
      <c r="S14" s="956"/>
      <c r="T14" s="1220"/>
      <c r="U14" s="1211"/>
      <c r="V14" s="1211"/>
      <c r="W14" s="1211"/>
      <c r="X14" s="1211"/>
      <c r="Y14" s="1211"/>
    </row>
    <row r="15" spans="1:25" s="1" customFormat="1" ht="24.9" customHeight="1" thickBot="1" x14ac:dyDescent="0.3">
      <c r="A15" s="17" t="s">
        <v>29</v>
      </c>
      <c r="B15" s="128"/>
      <c r="C15" s="112"/>
      <c r="D15" s="112"/>
      <c r="E15" s="112"/>
      <c r="F15" s="112"/>
      <c r="G15" s="112"/>
      <c r="H15" s="2"/>
      <c r="I15" s="640" t="s">
        <v>29</v>
      </c>
      <c r="J15" s="641"/>
      <c r="K15" s="372">
        <v>0.28000000000000003</v>
      </c>
      <c r="L15" s="112">
        <v>0.28000000000000003</v>
      </c>
      <c r="M15" s="112">
        <v>0.28999999999999998</v>
      </c>
      <c r="N15" s="112">
        <v>0.31</v>
      </c>
      <c r="O15" s="112">
        <v>0.28999999999999998</v>
      </c>
      <c r="P15" s="112">
        <v>0.28999999999999998</v>
      </c>
      <c r="R15" s="640" t="s">
        <v>29</v>
      </c>
      <c r="S15" s="715"/>
      <c r="T15" s="372">
        <v>0.27</v>
      </c>
      <c r="U15" s="112">
        <v>0.27</v>
      </c>
      <c r="V15" s="112">
        <v>0.28000000000000003</v>
      </c>
      <c r="W15" s="112">
        <v>0.28000000000000003</v>
      </c>
      <c r="X15" s="112">
        <v>0.28000000000000003</v>
      </c>
      <c r="Y15" s="112">
        <v>0.28000000000000003</v>
      </c>
    </row>
    <row r="16" spans="1:25" ht="24.9" customHeight="1" x14ac:dyDescent="0.25">
      <c r="J16" s="375"/>
      <c r="S16" s="375"/>
    </row>
    <row r="17" ht="24.9" customHeight="1" x14ac:dyDescent="0.25"/>
    <row r="18" ht="24.9" customHeight="1" x14ac:dyDescent="0.25"/>
    <row r="19" ht="24.9" customHeight="1" x14ac:dyDescent="0.25"/>
    <row r="20" ht="24.9" customHeight="1" x14ac:dyDescent="0.25"/>
    <row r="21" ht="24.9" customHeight="1" x14ac:dyDescent="0.25"/>
    <row r="22" ht="24.9" customHeight="1" x14ac:dyDescent="0.25"/>
    <row r="23" ht="24.9" customHeight="1" x14ac:dyDescent="0.25"/>
    <row r="24" ht="24.9" customHeight="1" x14ac:dyDescent="0.25"/>
    <row r="25" ht="24.9" customHeight="1" x14ac:dyDescent="0.25"/>
    <row r="26" ht="24.9" customHeight="1" x14ac:dyDescent="0.25"/>
    <row r="27" ht="24.9" customHeight="1" x14ac:dyDescent="0.25"/>
    <row r="28" ht="24.9" customHeight="1" x14ac:dyDescent="0.25"/>
    <row r="29" ht="24.9" customHeight="1" x14ac:dyDescent="0.25"/>
    <row r="30" ht="24.9" customHeight="1" x14ac:dyDescent="0.25"/>
    <row r="31" ht="24.9" customHeight="1" x14ac:dyDescent="0.25"/>
    <row r="32" ht="24.9" customHeight="1" x14ac:dyDescent="0.25"/>
    <row r="33" ht="24.9" customHeight="1" x14ac:dyDescent="0.25"/>
    <row r="34" ht="24.9" customHeight="1" x14ac:dyDescent="0.25"/>
    <row r="35" ht="24.9" customHeight="1" x14ac:dyDescent="0.25"/>
    <row r="36" ht="24.9" customHeight="1" x14ac:dyDescent="0.25"/>
    <row r="37" ht="24.9" customHeight="1" x14ac:dyDescent="0.25"/>
    <row r="38" ht="24.9" customHeight="1" x14ac:dyDescent="0.25"/>
    <row r="39" ht="24.9" customHeight="1" x14ac:dyDescent="0.25"/>
    <row r="40" ht="24.9" customHeight="1" x14ac:dyDescent="0.25"/>
    <row r="41" ht="24.9" customHeight="1" x14ac:dyDescent="0.25"/>
    <row r="42" ht="24.9" customHeight="1" x14ac:dyDescent="0.25"/>
    <row r="43" ht="24.9" customHeight="1" x14ac:dyDescent="0.25"/>
    <row r="44" ht="24.9" customHeight="1" x14ac:dyDescent="0.25"/>
    <row r="45" ht="24.9" customHeight="1" x14ac:dyDescent="0.25"/>
    <row r="46" ht="24.9" customHeight="1" x14ac:dyDescent="0.25"/>
    <row r="47" ht="24.9" customHeight="1" x14ac:dyDescent="0.25"/>
    <row r="48"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row r="395" ht="24.9" customHeight="1" x14ac:dyDescent="0.25"/>
  </sheetData>
  <mergeCells count="24">
    <mergeCell ref="R4:R6"/>
    <mergeCell ref="R8:R9"/>
    <mergeCell ref="R10:R11"/>
    <mergeCell ref="R12:R14"/>
    <mergeCell ref="I4:I6"/>
    <mergeCell ref="A10:A11"/>
    <mergeCell ref="A8:A9"/>
    <mergeCell ref="A12:A14"/>
    <mergeCell ref="I8:I9"/>
    <mergeCell ref="I12:I14"/>
    <mergeCell ref="I10:I11"/>
    <mergeCell ref="Y12:Y14"/>
    <mergeCell ref="S10:S11"/>
    <mergeCell ref="T10:T11"/>
    <mergeCell ref="U10:U11"/>
    <mergeCell ref="V10:V11"/>
    <mergeCell ref="W10:W11"/>
    <mergeCell ref="X10:X11"/>
    <mergeCell ref="Y10:Y11"/>
    <mergeCell ref="T12:T14"/>
    <mergeCell ref="U12:U14"/>
    <mergeCell ref="V12:V14"/>
    <mergeCell ref="W12:W14"/>
    <mergeCell ref="X12:X14"/>
  </mergeCells>
  <pageMargins left="0.78740157499999996" right="0.78740157499999996" top="0.984251969" bottom="0.984251969" header="0.4921259845" footer="0.492125984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90"/>
  <sheetViews>
    <sheetView showZeros="0" workbookViewId="0">
      <pane xSplit="1" ySplit="1" topLeftCell="P2" activePane="bottomRight" state="frozen"/>
      <selection pane="topRight" activeCell="B1" sqref="B1"/>
      <selection pane="bottomLeft" activeCell="A2" sqref="A2"/>
      <selection pane="bottomRight" activeCell="Q9" sqref="Q9:V9"/>
    </sheetView>
  </sheetViews>
  <sheetFormatPr baseColWidth="10" defaultColWidth="11.44140625" defaultRowHeight="13.2" x14ac:dyDescent="0.25"/>
  <cols>
    <col min="1" max="1" width="6.5546875" style="3" customWidth="1"/>
    <col min="2" max="2" width="15.109375" style="3" customWidth="1"/>
    <col min="3" max="3" width="8" style="13" customWidth="1"/>
    <col min="4" max="8" width="11.44140625" style="13"/>
    <col min="9" max="14" width="11.44140625" style="3"/>
    <col min="15" max="16" width="17.5546875" style="3" customWidth="1"/>
    <col min="17" max="16384" width="11.44140625" style="3"/>
  </cols>
  <sheetData>
    <row r="1" spans="1:22" x14ac:dyDescent="0.25">
      <c r="H1" s="375"/>
    </row>
    <row r="2" spans="1:22" s="1" customFormat="1" ht="24.9" customHeight="1" thickBot="1" x14ac:dyDescent="0.3">
      <c r="A2" s="397" t="s">
        <v>168</v>
      </c>
      <c r="C2" s="2"/>
      <c r="D2" s="2"/>
      <c r="E2" s="2"/>
      <c r="F2" s="2"/>
      <c r="G2" s="2"/>
      <c r="H2" s="376"/>
    </row>
    <row r="3" spans="1:22" s="1" customFormat="1" ht="40.5" customHeight="1" thickBot="1" x14ac:dyDescent="0.3">
      <c r="A3" s="54"/>
      <c r="B3" s="55"/>
      <c r="C3" s="104">
        <v>2008</v>
      </c>
      <c r="D3" s="104">
        <v>2009</v>
      </c>
      <c r="E3" s="105">
        <v>2010</v>
      </c>
      <c r="F3" s="105">
        <v>2011</v>
      </c>
      <c r="G3" s="128">
        <v>2012</v>
      </c>
      <c r="H3" s="373"/>
      <c r="I3" s="329">
        <v>2013</v>
      </c>
      <c r="J3" s="105">
        <v>2014</v>
      </c>
      <c r="K3" s="105">
        <v>2015</v>
      </c>
      <c r="L3" s="105">
        <v>2016</v>
      </c>
      <c r="M3" s="105">
        <v>2017</v>
      </c>
      <c r="N3" s="105">
        <v>2018</v>
      </c>
      <c r="P3" s="128"/>
      <c r="Q3" s="105">
        <v>2019</v>
      </c>
      <c r="R3" s="105">
        <v>2020</v>
      </c>
      <c r="S3" s="105">
        <v>2021</v>
      </c>
      <c r="T3" s="105">
        <v>2022</v>
      </c>
      <c r="U3" s="105">
        <v>2023</v>
      </c>
      <c r="V3" s="105">
        <v>2024</v>
      </c>
    </row>
    <row r="4" spans="1:22" s="1" customFormat="1" ht="24.9" customHeight="1" thickBot="1" x14ac:dyDescent="0.3">
      <c r="A4" s="17" t="s">
        <v>23</v>
      </c>
      <c r="B4" s="56"/>
      <c r="C4" s="106">
        <v>1.385</v>
      </c>
      <c r="D4" s="107">
        <v>0.14399999999999999</v>
      </c>
      <c r="E4" s="107">
        <v>0.14399999999999999</v>
      </c>
      <c r="F4" s="107">
        <v>0.15</v>
      </c>
      <c r="G4" s="361">
        <v>0.15</v>
      </c>
      <c r="H4" s="373"/>
      <c r="I4" s="367">
        <v>0.18</v>
      </c>
      <c r="J4" s="113">
        <v>0.2</v>
      </c>
      <c r="K4" s="107">
        <v>0.22</v>
      </c>
      <c r="L4" s="107">
        <v>0.23</v>
      </c>
      <c r="M4" s="107">
        <v>0.24</v>
      </c>
      <c r="N4" s="107">
        <v>0.24</v>
      </c>
      <c r="P4" s="128" t="s">
        <v>23</v>
      </c>
      <c r="Q4" s="107">
        <v>0.24</v>
      </c>
      <c r="R4" s="107">
        <v>0.24</v>
      </c>
      <c r="S4" s="107">
        <v>0.24</v>
      </c>
      <c r="T4" s="107">
        <v>0.24</v>
      </c>
      <c r="U4" s="107">
        <v>0.24</v>
      </c>
      <c r="V4" s="107">
        <v>0.24</v>
      </c>
    </row>
    <row r="5" spans="1:22" s="1" customFormat="1" ht="24.9" customHeight="1" thickBot="1" x14ac:dyDescent="0.3">
      <c r="A5" s="1188" t="s">
        <v>24</v>
      </c>
      <c r="B5" s="56" t="s">
        <v>171</v>
      </c>
      <c r="C5" s="108">
        <v>7.4999999999999997E-2</v>
      </c>
      <c r="D5" s="108">
        <v>7.9000000000000001E-2</v>
      </c>
      <c r="E5" s="108">
        <v>8.6999999999999994E-2</v>
      </c>
      <c r="F5" s="108">
        <v>9.7000000000000003E-2</v>
      </c>
      <c r="G5" s="362">
        <v>0.11</v>
      </c>
      <c r="H5" s="373"/>
      <c r="I5" s="368">
        <v>0.122</v>
      </c>
      <c r="J5" s="108">
        <v>0.114</v>
      </c>
      <c r="K5" s="108">
        <v>0.11700000000000001</v>
      </c>
      <c r="L5" s="108">
        <v>0.11899999999999999</v>
      </c>
      <c r="M5" s="108">
        <v>0.121</v>
      </c>
      <c r="N5" s="108">
        <v>0.124</v>
      </c>
      <c r="O5" s="782" t="s">
        <v>171</v>
      </c>
      <c r="P5" s="1191" t="s">
        <v>24</v>
      </c>
      <c r="Q5" s="784">
        <v>0.124</v>
      </c>
      <c r="R5" s="784">
        <v>0.124</v>
      </c>
      <c r="S5" s="784">
        <v>0.124</v>
      </c>
      <c r="T5" s="784">
        <v>0.124</v>
      </c>
      <c r="U5" s="784">
        <v>0.124</v>
      </c>
      <c r="V5" s="784">
        <v>0.124</v>
      </c>
    </row>
    <row r="6" spans="1:22" s="1" customFormat="1" ht="24.9" customHeight="1" thickBot="1" x14ac:dyDescent="0.3">
      <c r="A6" s="1189"/>
      <c r="B6" s="440" t="s">
        <v>188</v>
      </c>
      <c r="C6" s="108">
        <v>8.0000000000000002E-3</v>
      </c>
      <c r="D6" s="108">
        <v>8.0000000000000002E-3</v>
      </c>
      <c r="E6" s="108">
        <v>8.9999999999999993E-3</v>
      </c>
      <c r="F6" s="108">
        <v>1.0999999999999999E-2</v>
      </c>
      <c r="G6" s="362">
        <v>1.2E-2</v>
      </c>
      <c r="H6" s="373"/>
      <c r="I6" s="368">
        <v>1.2E-2</v>
      </c>
      <c r="J6" s="108">
        <v>1.2E-2</v>
      </c>
      <c r="K6" s="108">
        <v>1.2999999999999999E-2</v>
      </c>
      <c r="L6" s="108">
        <v>1.2999999999999999E-2</v>
      </c>
      <c r="M6" s="108">
        <v>1.2999999999999999E-2</v>
      </c>
      <c r="N6" s="108">
        <v>1.4E-2</v>
      </c>
      <c r="O6" s="783" t="s">
        <v>188</v>
      </c>
      <c r="P6" s="1193"/>
      <c r="Q6" s="785">
        <v>3.2000000000000001E-2</v>
      </c>
      <c r="R6" s="786">
        <v>5.0999999999999997E-2</v>
      </c>
      <c r="S6" s="786">
        <v>6.9000000000000006E-2</v>
      </c>
      <c r="T6" s="786">
        <v>8.6999999999999994E-2</v>
      </c>
      <c r="U6" s="786">
        <v>0.106</v>
      </c>
      <c r="V6" s="786">
        <v>0.124</v>
      </c>
    </row>
    <row r="7" spans="1:22" s="1" customFormat="1" ht="24.9" customHeight="1" thickBot="1" x14ac:dyDescent="0.3">
      <c r="A7" s="17" t="s">
        <v>27</v>
      </c>
      <c r="B7" s="56"/>
      <c r="C7" s="109">
        <v>0.08</v>
      </c>
      <c r="D7" s="109">
        <v>8.5000000000000006E-2</v>
      </c>
      <c r="E7" s="109">
        <v>0.09</v>
      </c>
      <c r="F7" s="109">
        <v>9.5000000000000001E-2</v>
      </c>
      <c r="G7" s="363">
        <v>0.1</v>
      </c>
      <c r="H7" s="374"/>
      <c r="I7" s="369">
        <v>0.1</v>
      </c>
      <c r="J7" s="295">
        <v>0.1</v>
      </c>
      <c r="K7" s="109">
        <v>0.11</v>
      </c>
      <c r="L7" s="109">
        <v>0.11</v>
      </c>
      <c r="M7" s="109">
        <v>0.11</v>
      </c>
      <c r="N7" s="109">
        <v>0.11</v>
      </c>
      <c r="P7" s="128" t="s">
        <v>27</v>
      </c>
      <c r="Q7" s="295">
        <v>0.11</v>
      </c>
      <c r="R7" s="295">
        <v>0.11</v>
      </c>
      <c r="S7" s="295">
        <v>0.11</v>
      </c>
      <c r="T7" s="295">
        <v>0.11</v>
      </c>
      <c r="U7" s="295">
        <v>0.11</v>
      </c>
      <c r="V7" s="295">
        <v>0.11</v>
      </c>
    </row>
    <row r="8" spans="1:22" s="1" customFormat="1" ht="24.9" customHeight="1" thickBot="1" x14ac:dyDescent="0.3">
      <c r="A8" s="17" t="s">
        <v>26</v>
      </c>
      <c r="B8" s="56"/>
      <c r="C8" s="110">
        <v>0.105</v>
      </c>
      <c r="D8" s="110">
        <v>0.11</v>
      </c>
      <c r="E8" s="110">
        <v>0.11</v>
      </c>
      <c r="F8" s="110">
        <v>0.115</v>
      </c>
      <c r="G8" s="364">
        <v>0.12</v>
      </c>
      <c r="H8" s="373"/>
      <c r="I8" s="370">
        <v>0.13200000000000001</v>
      </c>
      <c r="J8" s="110">
        <v>0.14499999999999999</v>
      </c>
      <c r="K8" s="110">
        <v>0.16</v>
      </c>
      <c r="L8" s="110">
        <v>0.17599999999999999</v>
      </c>
      <c r="M8" s="110">
        <v>0.19400000000000001</v>
      </c>
      <c r="N8" s="110">
        <v>0.21299999999999999</v>
      </c>
      <c r="P8" s="128" t="s">
        <v>26</v>
      </c>
      <c r="Q8" s="110">
        <v>0.21</v>
      </c>
      <c r="R8" s="110">
        <v>0.21</v>
      </c>
      <c r="S8" s="110">
        <v>0.21</v>
      </c>
      <c r="T8" s="110">
        <v>0.21</v>
      </c>
      <c r="U8" s="110">
        <v>0.21</v>
      </c>
      <c r="V8" s="110">
        <v>0.21</v>
      </c>
    </row>
    <row r="9" spans="1:22" s="1" customFormat="1" ht="24.9" customHeight="1" thickBot="1" x14ac:dyDescent="0.3">
      <c r="A9" s="17" t="s">
        <v>28</v>
      </c>
      <c r="B9" s="56"/>
      <c r="C9" s="111">
        <v>0.15</v>
      </c>
      <c r="D9" s="111">
        <v>0.15</v>
      </c>
      <c r="E9" s="111">
        <v>0.13700000000000001</v>
      </c>
      <c r="F9" s="111">
        <v>0.13700000000000001</v>
      </c>
      <c r="G9" s="365">
        <v>0.13700000000000001</v>
      </c>
      <c r="H9" s="373"/>
      <c r="I9" s="371">
        <f>0.156</f>
        <v>0.156</v>
      </c>
      <c r="J9" s="111">
        <f>0.175</f>
        <v>0.17499999999999999</v>
      </c>
      <c r="K9" s="111">
        <v>0.19500000000000001</v>
      </c>
      <c r="L9" s="111">
        <v>0.214</v>
      </c>
      <c r="M9" s="111">
        <v>0.23300000000000001</v>
      </c>
      <c r="N9" s="111">
        <v>0.23300000000000001</v>
      </c>
      <c r="P9" s="128" t="s">
        <v>28</v>
      </c>
      <c r="Q9" s="111">
        <v>0.23300000000000001</v>
      </c>
      <c r="R9" s="111">
        <v>0.23300000000000001</v>
      </c>
      <c r="S9" s="111">
        <v>0.23300000000000001</v>
      </c>
      <c r="T9" s="111">
        <v>0.23300000000000001</v>
      </c>
      <c r="U9" s="111">
        <v>0.23300000000000001</v>
      </c>
      <c r="V9" s="111">
        <v>0.23300000000000001</v>
      </c>
    </row>
    <row r="10" spans="1:22" s="1" customFormat="1" ht="24.9" customHeight="1" thickBot="1" x14ac:dyDescent="0.3">
      <c r="A10" s="17" t="s">
        <v>29</v>
      </c>
      <c r="B10" s="56"/>
      <c r="C10" s="112">
        <v>6.5000000000000002E-2</v>
      </c>
      <c r="D10" s="112">
        <v>6.5000000000000002E-2</v>
      </c>
      <c r="E10" s="112">
        <v>6.5000000000000002E-2</v>
      </c>
      <c r="F10" s="112">
        <v>7.4999999999999997E-2</v>
      </c>
      <c r="G10" s="366">
        <v>7.4999999999999997E-2</v>
      </c>
      <c r="H10" s="373"/>
      <c r="I10" s="372">
        <v>0.15</v>
      </c>
      <c r="J10" s="112">
        <v>0.15</v>
      </c>
      <c r="K10" s="112">
        <v>0.155</v>
      </c>
      <c r="L10" s="112">
        <v>0.16</v>
      </c>
      <c r="M10" s="112">
        <v>0.155</v>
      </c>
      <c r="N10" s="112">
        <v>0.155</v>
      </c>
      <c r="P10" s="128" t="s">
        <v>29</v>
      </c>
      <c r="Q10" s="112">
        <v>0.15</v>
      </c>
      <c r="R10" s="372">
        <v>0.15</v>
      </c>
      <c r="S10" s="372">
        <v>0.15</v>
      </c>
      <c r="T10" s="372">
        <v>0.15</v>
      </c>
      <c r="U10" s="372">
        <v>0.15</v>
      </c>
      <c r="V10" s="372">
        <v>0.15</v>
      </c>
    </row>
    <row r="11" spans="1:22" ht="24.9" customHeight="1" x14ac:dyDescent="0.25">
      <c r="H11" s="375"/>
    </row>
    <row r="12" spans="1:22" ht="24.9" customHeight="1" x14ac:dyDescent="0.25">
      <c r="E12" s="551">
        <f>+(N4-G4)/G4</f>
        <v>0.6</v>
      </c>
    </row>
    <row r="13" spans="1:22" ht="24.9" customHeight="1" x14ac:dyDescent="0.25"/>
    <row r="14" spans="1:22" ht="24.9" customHeight="1" x14ac:dyDescent="0.25"/>
    <row r="15" spans="1:22" ht="24.9" customHeight="1" x14ac:dyDescent="0.25"/>
    <row r="16" spans="1:22" ht="24.9" customHeight="1" x14ac:dyDescent="0.25"/>
    <row r="17" ht="24.9" customHeight="1" x14ac:dyDescent="0.25"/>
    <row r="18" ht="24.9" customHeight="1" x14ac:dyDescent="0.25"/>
    <row r="19" ht="24.9" customHeight="1" x14ac:dyDescent="0.25"/>
    <row r="20" ht="24.9" customHeight="1" x14ac:dyDescent="0.25"/>
    <row r="21" ht="24.9" customHeight="1" x14ac:dyDescent="0.25"/>
    <row r="22" ht="24.9" customHeight="1" x14ac:dyDescent="0.25"/>
    <row r="23" ht="24.9" customHeight="1" x14ac:dyDescent="0.25"/>
    <row r="24" ht="24.9" customHeight="1" x14ac:dyDescent="0.25"/>
    <row r="25" ht="24.9" customHeight="1" x14ac:dyDescent="0.25"/>
    <row r="26" ht="24.9" customHeight="1" x14ac:dyDescent="0.25"/>
    <row r="27" ht="24.9" customHeight="1" x14ac:dyDescent="0.25"/>
    <row r="28" ht="24.9" customHeight="1" x14ac:dyDescent="0.25"/>
    <row r="29" ht="24.9" customHeight="1" x14ac:dyDescent="0.25"/>
    <row r="30" ht="24.9" customHeight="1" x14ac:dyDescent="0.25"/>
    <row r="31" ht="24.9" customHeight="1" x14ac:dyDescent="0.25"/>
    <row r="32" ht="24.9" customHeight="1" x14ac:dyDescent="0.25"/>
    <row r="33" ht="24.9" customHeight="1" x14ac:dyDescent="0.25"/>
    <row r="34" ht="24.9" customHeight="1" x14ac:dyDescent="0.25"/>
    <row r="35" ht="24.9" customHeight="1" x14ac:dyDescent="0.25"/>
    <row r="36" ht="24.9" customHeight="1" x14ac:dyDescent="0.25"/>
    <row r="37" ht="24.9" customHeight="1" x14ac:dyDescent="0.25"/>
    <row r="38" ht="24.9" customHeight="1" x14ac:dyDescent="0.25"/>
    <row r="39" ht="24.9" customHeight="1" x14ac:dyDescent="0.25"/>
    <row r="40" ht="24.9" customHeight="1" x14ac:dyDescent="0.25"/>
    <row r="41" ht="24.9" customHeight="1" x14ac:dyDescent="0.25"/>
    <row r="42" ht="24.9" customHeight="1" x14ac:dyDescent="0.25"/>
    <row r="43" ht="24.9" customHeight="1" x14ac:dyDescent="0.25"/>
    <row r="44" ht="24.9" customHeight="1" x14ac:dyDescent="0.25"/>
    <row r="45" ht="24.9" customHeight="1" x14ac:dyDescent="0.25"/>
    <row r="46" ht="24.9" customHeight="1" x14ac:dyDescent="0.25"/>
    <row r="47" ht="24.9" customHeight="1" x14ac:dyDescent="0.25"/>
    <row r="48"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sheetData>
  <mergeCells count="2">
    <mergeCell ref="A5:A6"/>
    <mergeCell ref="P5:P6"/>
  </mergeCells>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89"/>
  <sheetViews>
    <sheetView showZeros="0" topLeftCell="P1" workbookViewId="0">
      <selection activeCell="N13" sqref="N13"/>
    </sheetView>
  </sheetViews>
  <sheetFormatPr baseColWidth="10" defaultColWidth="11.44140625" defaultRowHeight="13.2" x14ac:dyDescent="0.25"/>
  <cols>
    <col min="1" max="1" width="6.5546875" style="3" customWidth="1"/>
    <col min="2" max="2" width="8" style="13" customWidth="1"/>
    <col min="3" max="8" width="11.44140625" style="13"/>
    <col min="9" max="16384" width="11.44140625" style="3"/>
  </cols>
  <sheetData>
    <row r="1" spans="1:23" x14ac:dyDescent="0.25">
      <c r="G1" s="375"/>
      <c r="H1" s="375"/>
    </row>
    <row r="2" spans="1:23" s="1" customFormat="1" ht="24.9" customHeight="1" thickBot="1" x14ac:dyDescent="0.3">
      <c r="A2" s="397" t="s">
        <v>168</v>
      </c>
      <c r="B2" s="2"/>
      <c r="C2" s="2"/>
      <c r="D2" s="2"/>
      <c r="E2" s="2"/>
      <c r="F2" s="2"/>
      <c r="G2" s="376"/>
      <c r="H2" s="376"/>
    </row>
    <row r="3" spans="1:23" s="1" customFormat="1" ht="40.5" customHeight="1" thickBot="1" x14ac:dyDescent="0.3">
      <c r="A3" s="54"/>
      <c r="B3" s="104">
        <v>2008</v>
      </c>
      <c r="C3" s="104">
        <v>2009</v>
      </c>
      <c r="D3" s="105">
        <v>2010</v>
      </c>
      <c r="E3" s="105">
        <v>2011</v>
      </c>
      <c r="F3" s="128">
        <v>2012</v>
      </c>
      <c r="G3" s="373"/>
      <c r="H3" s="54"/>
      <c r="I3" s="329">
        <v>2013</v>
      </c>
      <c r="J3" s="105">
        <v>2014</v>
      </c>
      <c r="K3" s="105">
        <v>2015</v>
      </c>
      <c r="L3" s="105">
        <v>2016</v>
      </c>
      <c r="M3" s="105">
        <v>2017</v>
      </c>
      <c r="N3" s="105">
        <v>2018</v>
      </c>
      <c r="P3" s="54"/>
      <c r="Q3" s="105">
        <v>2019</v>
      </c>
      <c r="R3" s="105">
        <v>2020</v>
      </c>
      <c r="S3" s="105">
        <v>2021</v>
      </c>
      <c r="T3" s="105">
        <v>2022</v>
      </c>
      <c r="U3" s="105">
        <v>2023</v>
      </c>
      <c r="V3" s="105">
        <v>2024</v>
      </c>
    </row>
    <row r="4" spans="1:23" s="1" customFormat="1" ht="24.9" customHeight="1" thickBot="1" x14ac:dyDescent="0.3">
      <c r="A4" s="17" t="s">
        <v>23</v>
      </c>
      <c r="B4" s="106"/>
      <c r="C4" s="107"/>
      <c r="D4" s="107"/>
      <c r="E4" s="107"/>
      <c r="F4" s="361"/>
      <c r="G4" s="373"/>
      <c r="H4" s="17" t="s">
        <v>23</v>
      </c>
      <c r="I4" s="367">
        <v>0.3</v>
      </c>
      <c r="J4" s="367">
        <v>0.3</v>
      </c>
      <c r="K4" s="367">
        <v>0.3</v>
      </c>
      <c r="L4" s="367">
        <v>0.3</v>
      </c>
      <c r="M4" s="367">
        <v>0.3</v>
      </c>
      <c r="N4" s="367">
        <v>0.24</v>
      </c>
      <c r="P4" s="17" t="s">
        <v>23</v>
      </c>
      <c r="Q4" s="367">
        <v>0.185</v>
      </c>
      <c r="R4" s="367">
        <v>0.185</v>
      </c>
      <c r="S4" s="367">
        <v>0.185</v>
      </c>
      <c r="T4" s="367">
        <v>0.185</v>
      </c>
      <c r="U4" s="367">
        <v>0.185</v>
      </c>
      <c r="V4" s="367">
        <v>0.185</v>
      </c>
    </row>
    <row r="5" spans="1:23" s="1" customFormat="1" ht="24.9" customHeight="1" thickBot="1" x14ac:dyDescent="0.3">
      <c r="A5" s="579" t="s">
        <v>24</v>
      </c>
      <c r="B5" s="108"/>
      <c r="C5" s="108"/>
      <c r="D5" s="108"/>
      <c r="E5" s="108"/>
      <c r="F5" s="362"/>
      <c r="G5" s="373"/>
      <c r="H5" s="579" t="s">
        <v>24</v>
      </c>
      <c r="I5" s="368" t="s">
        <v>201</v>
      </c>
      <c r="J5" s="108">
        <v>0.23</v>
      </c>
      <c r="K5" s="108">
        <v>0.23499999999999999</v>
      </c>
      <c r="L5" s="108">
        <v>0.24</v>
      </c>
      <c r="M5" s="108">
        <v>0.245</v>
      </c>
      <c r="N5" s="108">
        <v>0.25</v>
      </c>
      <c r="P5" s="579" t="s">
        <v>24</v>
      </c>
      <c r="Q5" s="368">
        <v>0.25</v>
      </c>
      <c r="R5" s="368">
        <v>0.25</v>
      </c>
      <c r="S5" s="368">
        <v>0.25</v>
      </c>
      <c r="T5" s="368">
        <v>0.25</v>
      </c>
      <c r="U5" s="368">
        <v>0.25</v>
      </c>
      <c r="V5" s="368">
        <v>0.25</v>
      </c>
    </row>
    <row r="6" spans="1:23" s="1" customFormat="1" ht="24.9" customHeight="1" thickBot="1" x14ac:dyDescent="0.3">
      <c r="A6" s="17" t="s">
        <v>27</v>
      </c>
      <c r="B6" s="109"/>
      <c r="C6" s="109"/>
      <c r="D6" s="109"/>
      <c r="E6" s="109"/>
      <c r="F6" s="363"/>
      <c r="G6" s="374"/>
      <c r="H6" s="17" t="s">
        <v>27</v>
      </c>
      <c r="I6" s="369">
        <v>0.19</v>
      </c>
      <c r="J6" s="369">
        <v>0.19</v>
      </c>
      <c r="K6" s="369">
        <v>0.19</v>
      </c>
      <c r="L6" s="369">
        <v>0.19</v>
      </c>
      <c r="M6" s="369">
        <v>0.19</v>
      </c>
      <c r="N6" s="369">
        <v>0.19</v>
      </c>
      <c r="P6" s="17" t="s">
        <v>27</v>
      </c>
      <c r="Q6" s="369">
        <v>0.15</v>
      </c>
      <c r="R6" s="369">
        <v>0.15</v>
      </c>
      <c r="S6" s="369">
        <v>0.15</v>
      </c>
      <c r="T6" s="369" t="s">
        <v>232</v>
      </c>
      <c r="U6" s="369" t="s">
        <v>232</v>
      </c>
      <c r="V6" s="369" t="s">
        <v>232</v>
      </c>
      <c r="W6" s="1" t="s">
        <v>233</v>
      </c>
    </row>
    <row r="7" spans="1:23" s="1" customFormat="1" ht="24.9" customHeight="1" thickBot="1" x14ac:dyDescent="0.3">
      <c r="A7" s="17" t="s">
        <v>26</v>
      </c>
      <c r="B7" s="110"/>
      <c r="C7" s="110"/>
      <c r="D7" s="110"/>
      <c r="E7" s="110"/>
      <c r="F7" s="364"/>
      <c r="G7" s="373"/>
      <c r="H7" s="17" t="s">
        <v>26</v>
      </c>
      <c r="I7" s="370">
        <v>0.248</v>
      </c>
      <c r="J7" s="110">
        <v>0.25700000000000001</v>
      </c>
      <c r="K7" s="110">
        <v>0.26600000000000001</v>
      </c>
      <c r="L7" s="110">
        <v>0.26600000000000001</v>
      </c>
      <c r="M7" s="110">
        <v>0.26600000000000001</v>
      </c>
      <c r="N7" s="110">
        <v>0.26600000000000001</v>
      </c>
      <c r="P7" s="17" t="s">
        <v>26</v>
      </c>
      <c r="Q7" s="370">
        <v>0.21</v>
      </c>
      <c r="R7" s="370">
        <v>0.21</v>
      </c>
      <c r="S7" s="370">
        <v>0.21</v>
      </c>
      <c r="T7" s="370">
        <v>0.21</v>
      </c>
      <c r="U7" s="370">
        <v>0.21</v>
      </c>
      <c r="V7" s="370">
        <v>0.21</v>
      </c>
    </row>
    <row r="8" spans="1:23" s="1" customFormat="1" ht="24.9" customHeight="1" thickBot="1" x14ac:dyDescent="0.3">
      <c r="A8" s="17" t="s">
        <v>28</v>
      </c>
      <c r="B8" s="111"/>
      <c r="C8" s="111"/>
      <c r="D8" s="111"/>
      <c r="E8" s="111"/>
      <c r="F8" s="365"/>
      <c r="G8" s="373"/>
      <c r="H8" s="17" t="s">
        <v>28</v>
      </c>
      <c r="I8" s="371">
        <v>0.27400000000000002</v>
      </c>
      <c r="J8" s="371">
        <v>0.27400000000000002</v>
      </c>
      <c r="K8" s="371">
        <v>0.27400000000000002</v>
      </c>
      <c r="L8" s="111">
        <v>0.23300000000000001</v>
      </c>
      <c r="M8" s="111">
        <v>0.23300000000000001</v>
      </c>
      <c r="N8" s="111">
        <v>0.23300000000000001</v>
      </c>
      <c r="P8" s="17" t="s">
        <v>28</v>
      </c>
      <c r="Q8" s="111">
        <v>0.23300000000000001</v>
      </c>
      <c r="R8" s="111">
        <v>0.23300000000000001</v>
      </c>
      <c r="S8" s="111">
        <v>0.23300000000000001</v>
      </c>
      <c r="T8" s="111">
        <v>0.23300000000000001</v>
      </c>
      <c r="U8" s="111">
        <v>0.23300000000000001</v>
      </c>
      <c r="V8" s="111">
        <v>0.23300000000000001</v>
      </c>
    </row>
    <row r="9" spans="1:23" s="1" customFormat="1" ht="24.9" customHeight="1" thickBot="1" x14ac:dyDescent="0.3">
      <c r="A9" s="17" t="s">
        <v>29</v>
      </c>
      <c r="B9" s="112"/>
      <c r="C9" s="112"/>
      <c r="D9" s="112"/>
      <c r="E9" s="112"/>
      <c r="F9" s="366"/>
      <c r="G9" s="373"/>
      <c r="H9" s="17" t="s">
        <v>29</v>
      </c>
      <c r="I9" s="372">
        <v>0.15</v>
      </c>
      <c r="J9" s="112">
        <v>0.15</v>
      </c>
      <c r="K9" s="112">
        <v>0.155</v>
      </c>
      <c r="L9" s="112">
        <v>0.16</v>
      </c>
      <c r="M9" s="112">
        <v>0.155</v>
      </c>
      <c r="N9" s="112">
        <v>0.155</v>
      </c>
      <c r="P9" s="17" t="s">
        <v>29</v>
      </c>
      <c r="Q9" s="372">
        <v>0.15</v>
      </c>
      <c r="R9" s="372">
        <v>0.15</v>
      </c>
      <c r="S9" s="372">
        <v>0.15</v>
      </c>
      <c r="T9" s="372">
        <v>0.15</v>
      </c>
      <c r="U9" s="372">
        <v>0.15</v>
      </c>
      <c r="V9" s="372">
        <v>0.15</v>
      </c>
    </row>
    <row r="10" spans="1:23" ht="24.9" customHeight="1" x14ac:dyDescent="0.25">
      <c r="G10" s="375"/>
      <c r="H10" s="375"/>
    </row>
    <row r="11" spans="1:23" ht="24.9" customHeight="1" x14ac:dyDescent="0.25"/>
    <row r="12" spans="1:23" ht="24.9" customHeight="1" x14ac:dyDescent="0.25"/>
    <row r="13" spans="1:23" ht="24.9" customHeight="1" x14ac:dyDescent="0.25"/>
    <row r="14" spans="1:23" ht="24.9" customHeight="1" x14ac:dyDescent="0.25"/>
    <row r="15" spans="1:23" ht="24.9" customHeight="1" x14ac:dyDescent="0.25"/>
    <row r="16" spans="1:23" ht="24.9" customHeight="1" x14ac:dyDescent="0.25"/>
    <row r="17" ht="24.9" customHeight="1" x14ac:dyDescent="0.25"/>
    <row r="18" ht="24.9" customHeight="1" x14ac:dyDescent="0.25"/>
    <row r="19" ht="24.9" customHeight="1" x14ac:dyDescent="0.25"/>
    <row r="20" ht="24.9" customHeight="1" x14ac:dyDescent="0.25"/>
    <row r="21" ht="24.9" customHeight="1" x14ac:dyDescent="0.25"/>
    <row r="22" ht="24.9" customHeight="1" x14ac:dyDescent="0.25"/>
    <row r="23" ht="24.9" customHeight="1" x14ac:dyDescent="0.25"/>
    <row r="24" ht="24.9" customHeight="1" x14ac:dyDescent="0.25"/>
    <row r="25" ht="24.9" customHeight="1" x14ac:dyDescent="0.25"/>
    <row r="26" ht="24.9" customHeight="1" x14ac:dyDescent="0.25"/>
    <row r="27" ht="24.9" customHeight="1" x14ac:dyDescent="0.25"/>
    <row r="28" ht="24.9" customHeight="1" x14ac:dyDescent="0.25"/>
    <row r="29" ht="24.9" customHeight="1" x14ac:dyDescent="0.25"/>
    <row r="30" ht="24.9" customHeight="1" x14ac:dyDescent="0.25"/>
    <row r="31" ht="24.9" customHeight="1" x14ac:dyDescent="0.25"/>
    <row r="32" ht="24.9" customHeight="1" x14ac:dyDescent="0.25"/>
    <row r="33" ht="24.9" customHeight="1" x14ac:dyDescent="0.25"/>
    <row r="34" ht="24.9" customHeight="1" x14ac:dyDescent="0.25"/>
    <row r="35" ht="24.9" customHeight="1" x14ac:dyDescent="0.25"/>
    <row r="36" ht="24.9" customHeight="1" x14ac:dyDescent="0.25"/>
    <row r="37" ht="24.9" customHeight="1" x14ac:dyDescent="0.25"/>
    <row r="38" ht="24.9" customHeight="1" x14ac:dyDescent="0.25"/>
    <row r="39" ht="24.9" customHeight="1" x14ac:dyDescent="0.25"/>
    <row r="40" ht="24.9" customHeight="1" x14ac:dyDescent="0.25"/>
    <row r="41" ht="24.9" customHeight="1" x14ac:dyDescent="0.25"/>
    <row r="42" ht="24.9" customHeight="1" x14ac:dyDescent="0.25"/>
    <row r="43" ht="24.9" customHeight="1" x14ac:dyDescent="0.25"/>
    <row r="44" ht="24.9" customHeight="1" x14ac:dyDescent="0.25"/>
    <row r="45" ht="24.9" customHeight="1" x14ac:dyDescent="0.25"/>
    <row r="46" ht="24.9" customHeight="1" x14ac:dyDescent="0.25"/>
    <row r="47" ht="24.9" customHeight="1" x14ac:dyDescent="0.25"/>
    <row r="48"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sheetData>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J398"/>
  <sheetViews>
    <sheetView showZeros="0" tabSelected="1" zoomScale="70" zoomScaleNormal="70" workbookViewId="0">
      <pane xSplit="2" ySplit="3" topLeftCell="AN4" activePane="bottomRight" state="frozen"/>
      <selection pane="topRight" activeCell="C1" sqref="C1"/>
      <selection pane="bottomLeft" activeCell="A4" sqref="A4"/>
      <selection pane="bottomRight" activeCell="BF12" sqref="BF12"/>
    </sheetView>
  </sheetViews>
  <sheetFormatPr baseColWidth="10" defaultColWidth="11.44140625" defaultRowHeight="13.2" x14ac:dyDescent="0.25"/>
  <cols>
    <col min="1" max="1" width="6.5546875" style="3" customWidth="1"/>
    <col min="2" max="2" width="16.6640625" style="13" customWidth="1"/>
    <col min="3" max="3" width="5.6640625" style="13" customWidth="1"/>
    <col min="4" max="8" width="11.44140625" style="3"/>
    <col min="9" max="9" width="5.6640625" style="114" customWidth="1"/>
    <col min="10" max="11" width="50.44140625" style="114" customWidth="1"/>
    <col min="12" max="12" width="7.44140625" style="3" customWidth="1"/>
    <col min="13" max="13" width="6" style="3" customWidth="1"/>
    <col min="14" max="14" width="7.5546875" style="3" customWidth="1"/>
    <col min="15" max="15" width="6.5546875" style="3" customWidth="1"/>
    <col min="16" max="16" width="6.44140625" style="3" customWidth="1"/>
    <col min="17" max="17" width="6" style="3" customWidth="1"/>
    <col min="18" max="18" width="7.5546875" style="3" customWidth="1"/>
    <col min="19" max="19" width="5.44140625" style="3" customWidth="1"/>
    <col min="20" max="20" width="6.44140625" style="3" customWidth="1"/>
    <col min="21" max="21" width="6" style="3" customWidth="1"/>
    <col min="22" max="22" width="7.5546875" style="3" customWidth="1"/>
    <col min="23" max="23" width="5.88671875" style="3" customWidth="1"/>
    <col min="24" max="24" width="6.44140625" style="3" customWidth="1"/>
    <col min="25" max="25" width="6.88671875" style="3" customWidth="1"/>
    <col min="26" max="26" width="7.5546875" style="3" customWidth="1"/>
    <col min="27" max="27" width="6.88671875" style="3" customWidth="1"/>
    <col min="28" max="28" width="6.44140625" style="3" customWidth="1"/>
    <col min="29" max="29" width="6.33203125" style="3" customWidth="1"/>
    <col min="30" max="30" width="7.5546875" style="3" customWidth="1"/>
    <col min="31" max="31" width="7.6640625" style="3" customWidth="1"/>
    <col min="32" max="32" width="6.44140625" style="3" customWidth="1"/>
    <col min="33" max="33" width="7.33203125" style="3" customWidth="1"/>
    <col min="34" max="34" width="7.5546875" style="3" customWidth="1"/>
    <col min="35" max="35" width="7.109375" style="3" customWidth="1"/>
    <col min="36" max="36" width="34.109375" style="3" customWidth="1"/>
    <col min="37" max="37" width="5.21875" style="3" customWidth="1"/>
    <col min="38" max="56" width="11.44140625" style="3"/>
    <col min="57" max="57" width="14.44140625" style="3" customWidth="1"/>
    <col min="58" max="58" width="22.5546875" style="3" customWidth="1"/>
    <col min="59" max="16384" width="11.44140625" style="3"/>
  </cols>
  <sheetData>
    <row r="1" spans="1:62" ht="28.2" customHeight="1" thickBot="1" x14ac:dyDescent="0.3">
      <c r="A1" s="1250" t="s">
        <v>153</v>
      </c>
      <c r="B1" s="1250"/>
      <c r="C1" s="1250"/>
      <c r="D1" s="1250"/>
      <c r="AL1" s="94"/>
      <c r="BB1" s="1157" t="s">
        <v>272</v>
      </c>
      <c r="BF1" s="1088" t="s">
        <v>270</v>
      </c>
      <c r="BG1" s="1228" t="s">
        <v>260</v>
      </c>
      <c r="BH1" s="1229"/>
      <c r="BI1" s="1228" t="s">
        <v>261</v>
      </c>
      <c r="BJ1" s="1229"/>
    </row>
    <row r="2" spans="1:62" s="1" customFormat="1" ht="24.9" customHeight="1" thickBot="1" x14ac:dyDescent="0.3">
      <c r="A2" s="1256"/>
      <c r="B2" s="1257"/>
      <c r="C2" s="401"/>
      <c r="D2" s="39">
        <v>2008</v>
      </c>
      <c r="E2" s="39">
        <v>2009</v>
      </c>
      <c r="F2" s="39">
        <v>2010</v>
      </c>
      <c r="G2" s="39">
        <v>2011</v>
      </c>
      <c r="H2" s="58">
        <v>2012</v>
      </c>
      <c r="I2" s="115"/>
      <c r="J2" s="115"/>
      <c r="K2" s="373"/>
      <c r="L2" s="1247">
        <v>2013</v>
      </c>
      <c r="M2" s="1247"/>
      <c r="N2" s="1247"/>
      <c r="O2" s="1247"/>
      <c r="P2" s="1248">
        <v>2014</v>
      </c>
      <c r="Q2" s="1247"/>
      <c r="R2" s="1247"/>
      <c r="S2" s="1249"/>
      <c r="T2" s="1247">
        <v>2015</v>
      </c>
      <c r="U2" s="1247"/>
      <c r="V2" s="1247"/>
      <c r="W2" s="1247"/>
      <c r="X2" s="1248">
        <v>2016</v>
      </c>
      <c r="Y2" s="1247"/>
      <c r="Z2" s="1247"/>
      <c r="AA2" s="1249"/>
      <c r="AB2" s="1247">
        <v>2017</v>
      </c>
      <c r="AC2" s="1247"/>
      <c r="AD2" s="1247"/>
      <c r="AE2" s="1247"/>
      <c r="AF2" s="1248">
        <v>2018</v>
      </c>
      <c r="AG2" s="1247"/>
      <c r="AH2" s="1247"/>
      <c r="AI2" s="1249"/>
      <c r="AJ2" s="1266" t="s">
        <v>217</v>
      </c>
      <c r="AK2" s="1033"/>
      <c r="AL2" s="1248">
        <v>2019</v>
      </c>
      <c r="AM2" s="1247"/>
      <c r="AN2" s="1247"/>
      <c r="AO2" s="1248">
        <v>2020</v>
      </c>
      <c r="AP2" s="1247"/>
      <c r="AQ2" s="1249"/>
      <c r="AR2" s="1247">
        <v>2021</v>
      </c>
      <c r="AS2" s="1247"/>
      <c r="AT2" s="1247"/>
      <c r="AU2" s="1248">
        <v>2022</v>
      </c>
      <c r="AV2" s="1247"/>
      <c r="AW2" s="1249"/>
      <c r="AX2" s="1247">
        <v>2023</v>
      </c>
      <c r="AY2" s="1247"/>
      <c r="AZ2" s="1247"/>
      <c r="BA2" s="1248">
        <v>2024</v>
      </c>
      <c r="BB2" s="1247"/>
      <c r="BC2" s="1247"/>
      <c r="BD2" s="639" t="s">
        <v>276</v>
      </c>
      <c r="BE2" s="58" t="s">
        <v>274</v>
      </c>
      <c r="BF2" s="1187" t="s">
        <v>259</v>
      </c>
      <c r="BG2" s="1083" t="s">
        <v>262</v>
      </c>
      <c r="BH2" s="1083" t="s">
        <v>263</v>
      </c>
      <c r="BI2" s="1083" t="s">
        <v>262</v>
      </c>
      <c r="BJ2" s="1083" t="s">
        <v>263</v>
      </c>
    </row>
    <row r="3" spans="1:62" s="1" customFormat="1" ht="24.9" customHeight="1" thickBot="1" x14ac:dyDescent="0.3">
      <c r="A3" s="1188" t="s">
        <v>23</v>
      </c>
      <c r="B3" s="100"/>
      <c r="C3" s="452" t="s">
        <v>174</v>
      </c>
      <c r="D3" s="236"/>
      <c r="E3" s="236"/>
      <c r="F3" s="236"/>
      <c r="G3" s="236"/>
      <c r="H3" s="237"/>
      <c r="I3" s="238"/>
      <c r="J3" s="238"/>
      <c r="K3" s="451" t="s">
        <v>189</v>
      </c>
      <c r="L3" s="305" t="s">
        <v>31</v>
      </c>
      <c r="M3" s="301" t="s">
        <v>33</v>
      </c>
      <c r="N3" s="301" t="s">
        <v>68</v>
      </c>
      <c r="O3" s="302" t="s">
        <v>15</v>
      </c>
      <c r="P3" s="303" t="s">
        <v>31</v>
      </c>
      <c r="Q3" s="301" t="s">
        <v>33</v>
      </c>
      <c r="R3" s="301" t="s">
        <v>68</v>
      </c>
      <c r="S3" s="304" t="s">
        <v>15</v>
      </c>
      <c r="T3" s="305" t="s">
        <v>31</v>
      </c>
      <c r="U3" s="301" t="s">
        <v>33</v>
      </c>
      <c r="V3" s="301" t="s">
        <v>68</v>
      </c>
      <c r="W3" s="302" t="s">
        <v>15</v>
      </c>
      <c r="X3" s="303" t="s">
        <v>31</v>
      </c>
      <c r="Y3" s="301" t="s">
        <v>33</v>
      </c>
      <c r="Z3" s="301" t="s">
        <v>68</v>
      </c>
      <c r="AA3" s="304" t="s">
        <v>15</v>
      </c>
      <c r="AB3" s="305" t="s">
        <v>31</v>
      </c>
      <c r="AC3" s="301" t="s">
        <v>33</v>
      </c>
      <c r="AD3" s="301" t="s">
        <v>68</v>
      </c>
      <c r="AE3" s="302" t="s">
        <v>15</v>
      </c>
      <c r="AF3" s="303" t="s">
        <v>31</v>
      </c>
      <c r="AG3" s="301" t="s">
        <v>33</v>
      </c>
      <c r="AH3" s="301" t="s">
        <v>68</v>
      </c>
      <c r="AI3" s="304" t="s">
        <v>15</v>
      </c>
      <c r="AJ3" s="1266"/>
      <c r="AK3" s="1033"/>
      <c r="AL3" s="733" t="s">
        <v>31</v>
      </c>
      <c r="AM3" s="734" t="s">
        <v>33</v>
      </c>
      <c r="AN3" s="735" t="s">
        <v>15</v>
      </c>
      <c r="AO3" s="733" t="s">
        <v>31</v>
      </c>
      <c r="AP3" s="734" t="s">
        <v>33</v>
      </c>
      <c r="AQ3" s="736" t="s">
        <v>15</v>
      </c>
      <c r="AR3" s="737" t="s">
        <v>31</v>
      </c>
      <c r="AS3" s="734" t="s">
        <v>33</v>
      </c>
      <c r="AT3" s="735" t="s">
        <v>15</v>
      </c>
      <c r="AU3" s="733" t="s">
        <v>31</v>
      </c>
      <c r="AV3" s="734" t="s">
        <v>33</v>
      </c>
      <c r="AW3" s="736" t="s">
        <v>15</v>
      </c>
      <c r="AX3" s="737" t="s">
        <v>31</v>
      </c>
      <c r="AY3" s="734" t="s">
        <v>33</v>
      </c>
      <c r="AZ3" s="735" t="s">
        <v>15</v>
      </c>
      <c r="BA3" s="733" t="s">
        <v>31</v>
      </c>
      <c r="BB3" s="734" t="s">
        <v>33</v>
      </c>
      <c r="BC3" s="735" t="s">
        <v>15</v>
      </c>
      <c r="BD3" s="1382"/>
      <c r="BE3" s="1383"/>
      <c r="BF3" s="1381" t="s">
        <v>269</v>
      </c>
      <c r="BG3" s="1085">
        <v>1.97</v>
      </c>
      <c r="BH3" s="1085">
        <v>7.56</v>
      </c>
      <c r="BI3" s="1085">
        <v>3.93</v>
      </c>
      <c r="BJ3" s="1085">
        <v>15.12</v>
      </c>
    </row>
    <row r="4" spans="1:62" s="1" customFormat="1" ht="13.8" x14ac:dyDescent="0.25">
      <c r="A4" s="1190"/>
      <c r="B4" s="14" t="s">
        <v>34</v>
      </c>
      <c r="C4" s="14"/>
      <c r="D4" s="62">
        <v>0.63200000000000001</v>
      </c>
      <c r="E4" s="62">
        <v>0.65700000000000003</v>
      </c>
      <c r="F4" s="62">
        <v>0.65700000000000003</v>
      </c>
      <c r="G4" s="62">
        <v>0.68399999999999994</v>
      </c>
      <c r="H4" s="63">
        <v>0.68399999999999994</v>
      </c>
      <c r="I4" s="116"/>
      <c r="J4" s="328"/>
      <c r="K4" s="379"/>
      <c r="L4" s="300">
        <v>0.82</v>
      </c>
      <c r="M4" s="296"/>
      <c r="N4" s="296">
        <v>0.9</v>
      </c>
      <c r="O4" s="297">
        <v>4</v>
      </c>
      <c r="P4" s="298">
        <v>0.93</v>
      </c>
      <c r="Q4" s="296"/>
      <c r="R4" s="296">
        <v>0.9</v>
      </c>
      <c r="S4" s="299">
        <v>4</v>
      </c>
      <c r="T4" s="300">
        <v>1.1499999999999999</v>
      </c>
      <c r="U4" s="296"/>
      <c r="V4" s="296">
        <v>1.56</v>
      </c>
      <c r="W4" s="297">
        <v>4.0999999999999996</v>
      </c>
      <c r="X4" s="298">
        <v>1.42</v>
      </c>
      <c r="Y4" s="296"/>
      <c r="Z4" s="296">
        <v>2.0499999999999998</v>
      </c>
      <c r="AA4" s="299">
        <v>4.0999999999999996</v>
      </c>
      <c r="AB4" s="300">
        <v>1.5</v>
      </c>
      <c r="AC4" s="296"/>
      <c r="AD4" s="296">
        <v>2.69</v>
      </c>
      <c r="AE4" s="297">
        <v>4.2</v>
      </c>
      <c r="AF4" s="298">
        <v>1.2</v>
      </c>
      <c r="AG4" s="296"/>
      <c r="AH4" s="296">
        <v>3.5</v>
      </c>
      <c r="AI4" s="299">
        <v>4.2</v>
      </c>
      <c r="AJ4" s="1266"/>
      <c r="AK4" s="1033"/>
      <c r="AL4" s="1246">
        <v>1.2</v>
      </c>
      <c r="AM4" s="1238"/>
      <c r="AN4" s="1240">
        <v>4.2</v>
      </c>
      <c r="AO4" s="1246">
        <v>1.2</v>
      </c>
      <c r="AP4" s="1238"/>
      <c r="AQ4" s="1240">
        <v>4.2</v>
      </c>
      <c r="AR4" s="1246">
        <v>1.2</v>
      </c>
      <c r="AS4" s="1238"/>
      <c r="AT4" s="1240">
        <v>4.2</v>
      </c>
      <c r="AU4" s="1246">
        <v>1.2</v>
      </c>
      <c r="AV4" s="1238"/>
      <c r="AW4" s="1240">
        <v>4.2</v>
      </c>
      <c r="AX4" s="1246">
        <v>1.2</v>
      </c>
      <c r="AY4" s="1238"/>
      <c r="AZ4" s="1240">
        <v>4.2</v>
      </c>
      <c r="BA4" s="1236">
        <v>1.2</v>
      </c>
      <c r="BB4" s="1238"/>
      <c r="BC4" s="1375">
        <v>4.2</v>
      </c>
      <c r="BD4" s="994"/>
      <c r="BE4" s="1383"/>
    </row>
    <row r="5" spans="1:62" s="1" customFormat="1" ht="27.75" customHeight="1" x14ac:dyDescent="0.25">
      <c r="A5" s="1190"/>
      <c r="B5" s="18" t="s">
        <v>35</v>
      </c>
      <c r="C5" s="18"/>
      <c r="D5" s="64">
        <v>0.93399999999999994</v>
      </c>
      <c r="E5" s="64">
        <v>0.97</v>
      </c>
      <c r="F5" s="64">
        <v>0.97</v>
      </c>
      <c r="G5" s="64">
        <v>1.01</v>
      </c>
      <c r="H5" s="65">
        <v>1.01</v>
      </c>
      <c r="I5" s="194" t="s">
        <v>80</v>
      </c>
      <c r="J5" s="378" t="s">
        <v>81</v>
      </c>
      <c r="K5" s="380"/>
      <c r="L5" s="252">
        <v>1.25</v>
      </c>
      <c r="M5" s="239"/>
      <c r="N5" s="239">
        <v>1.24</v>
      </c>
      <c r="O5" s="242">
        <v>4</v>
      </c>
      <c r="P5" s="265">
        <v>1.4</v>
      </c>
      <c r="Q5" s="239"/>
      <c r="R5" s="239">
        <v>1.53</v>
      </c>
      <c r="S5" s="266">
        <v>4</v>
      </c>
      <c r="T5" s="252">
        <v>1.45</v>
      </c>
      <c r="U5" s="239"/>
      <c r="V5" s="239">
        <v>1.88</v>
      </c>
      <c r="W5" s="242">
        <v>4.0999999999999996</v>
      </c>
      <c r="X5" s="265">
        <v>1.5</v>
      </c>
      <c r="Y5" s="239"/>
      <c r="Z5" s="239">
        <v>2.31</v>
      </c>
      <c r="AA5" s="266">
        <v>4.0999999999999996</v>
      </c>
      <c r="AB5" s="252">
        <v>1.5</v>
      </c>
      <c r="AC5" s="239"/>
      <c r="AD5" s="239">
        <v>2.84</v>
      </c>
      <c r="AE5" s="242">
        <v>4.2</v>
      </c>
      <c r="AF5" s="265">
        <v>1.2</v>
      </c>
      <c r="AG5" s="239"/>
      <c r="AH5" s="239">
        <v>3.5</v>
      </c>
      <c r="AI5" s="266">
        <v>4.2</v>
      </c>
      <c r="AJ5" s="1266"/>
      <c r="AK5" s="1033"/>
      <c r="AL5" s="1243"/>
      <c r="AM5" s="1239"/>
      <c r="AN5" s="1241"/>
      <c r="AO5" s="1243"/>
      <c r="AP5" s="1239"/>
      <c r="AQ5" s="1241"/>
      <c r="AR5" s="1243"/>
      <c r="AS5" s="1239"/>
      <c r="AT5" s="1241"/>
      <c r="AU5" s="1243"/>
      <c r="AV5" s="1239"/>
      <c r="AW5" s="1241"/>
      <c r="AX5" s="1243"/>
      <c r="AY5" s="1239"/>
      <c r="AZ5" s="1241"/>
      <c r="BA5" s="1237"/>
      <c r="BB5" s="1239"/>
      <c r="BC5" s="1376"/>
      <c r="BD5" s="1384">
        <f>+($BG$3-BA4)/BA4</f>
        <v>0.64166666666666672</v>
      </c>
      <c r="BE5" s="1383"/>
    </row>
    <row r="6" spans="1:62" s="1" customFormat="1" ht="30" customHeight="1" x14ac:dyDescent="0.25">
      <c r="A6" s="1190"/>
      <c r="B6" s="18" t="s">
        <v>36</v>
      </c>
      <c r="C6" s="18"/>
      <c r="D6" s="66">
        <v>3</v>
      </c>
      <c r="E6" s="66">
        <v>3</v>
      </c>
      <c r="F6" s="66">
        <v>3</v>
      </c>
      <c r="G6" s="66">
        <v>3</v>
      </c>
      <c r="H6" s="67">
        <v>3</v>
      </c>
      <c r="I6" s="1251" t="s">
        <v>82</v>
      </c>
      <c r="J6" s="1254" t="s">
        <v>151</v>
      </c>
      <c r="K6" s="381"/>
      <c r="L6" s="252"/>
      <c r="M6" s="239">
        <v>3.3</v>
      </c>
      <c r="N6" s="239">
        <v>3.6</v>
      </c>
      <c r="O6" s="242">
        <v>4</v>
      </c>
      <c r="P6" s="265"/>
      <c r="Q6" s="239">
        <v>3.3</v>
      </c>
      <c r="R6" s="239">
        <v>3.6</v>
      </c>
      <c r="S6" s="266">
        <v>4</v>
      </c>
      <c r="T6" s="252"/>
      <c r="U6" s="239">
        <v>3.3</v>
      </c>
      <c r="V6" s="239">
        <v>3.6</v>
      </c>
      <c r="W6" s="242">
        <v>4.0999999999999996</v>
      </c>
      <c r="X6" s="265"/>
      <c r="Y6" s="239">
        <v>3.3</v>
      </c>
      <c r="Z6" s="239">
        <v>3.5</v>
      </c>
      <c r="AA6" s="266">
        <v>4.0999999999999996</v>
      </c>
      <c r="AB6" s="252"/>
      <c r="AC6" s="239">
        <v>3.3</v>
      </c>
      <c r="AD6" s="239">
        <v>3.5</v>
      </c>
      <c r="AE6" s="242">
        <v>4.2</v>
      </c>
      <c r="AF6" s="265"/>
      <c r="AG6" s="239">
        <v>3.3</v>
      </c>
      <c r="AH6" s="239">
        <v>3.5</v>
      </c>
      <c r="AI6" s="266">
        <v>4.2</v>
      </c>
      <c r="AJ6" s="1266"/>
      <c r="AK6" s="1033"/>
      <c r="AL6" s="1242"/>
      <c r="AM6" s="1244">
        <v>3.3</v>
      </c>
      <c r="AN6" s="1245">
        <v>4.2</v>
      </c>
      <c r="AO6" s="1242"/>
      <c r="AP6" s="1244">
        <v>3.3</v>
      </c>
      <c r="AQ6" s="1245">
        <v>4.2</v>
      </c>
      <c r="AR6" s="1242"/>
      <c r="AS6" s="1244">
        <v>3.3</v>
      </c>
      <c r="AT6" s="1245">
        <v>4.2</v>
      </c>
      <c r="AU6" s="1242"/>
      <c r="AV6" s="1244">
        <v>3.3</v>
      </c>
      <c r="AW6" s="1245">
        <v>4.2</v>
      </c>
      <c r="AX6" s="1242"/>
      <c r="AY6" s="1244">
        <v>3.3</v>
      </c>
      <c r="AZ6" s="1245">
        <v>4.2</v>
      </c>
      <c r="BA6" s="1242"/>
      <c r="BB6" s="1244">
        <v>3.3</v>
      </c>
      <c r="BC6" s="1377">
        <v>4.2</v>
      </c>
      <c r="BD6" s="994"/>
      <c r="BE6" s="1383"/>
      <c r="BF6"/>
      <c r="BG6"/>
      <c r="BH6"/>
      <c r="BI6"/>
      <c r="BJ6"/>
    </row>
    <row r="7" spans="1:62" s="8" customFormat="1" ht="30" customHeight="1" x14ac:dyDescent="0.25">
      <c r="A7" s="1190"/>
      <c r="B7" s="9" t="s">
        <v>37</v>
      </c>
      <c r="C7" s="9"/>
      <c r="D7" s="66">
        <v>3</v>
      </c>
      <c r="E7" s="66">
        <v>3</v>
      </c>
      <c r="F7" s="66">
        <v>3</v>
      </c>
      <c r="G7" s="66">
        <v>3</v>
      </c>
      <c r="H7" s="67">
        <v>3</v>
      </c>
      <c r="I7" s="1252"/>
      <c r="J7" s="1254"/>
      <c r="K7" s="381"/>
      <c r="L7" s="252"/>
      <c r="M7" s="239">
        <v>3.3</v>
      </c>
      <c r="N7" s="239">
        <v>3.6</v>
      </c>
      <c r="O7" s="242">
        <v>4</v>
      </c>
      <c r="P7" s="265"/>
      <c r="Q7" s="239">
        <v>3.3</v>
      </c>
      <c r="R7" s="239">
        <v>3.6</v>
      </c>
      <c r="S7" s="266">
        <v>4</v>
      </c>
      <c r="T7" s="252"/>
      <c r="U7" s="239">
        <v>3.3</v>
      </c>
      <c r="V7" s="239">
        <v>3.6</v>
      </c>
      <c r="W7" s="242">
        <v>4.0999999999999996</v>
      </c>
      <c r="X7" s="265"/>
      <c r="Y7" s="239">
        <v>3.3</v>
      </c>
      <c r="Z7" s="239">
        <v>3.5</v>
      </c>
      <c r="AA7" s="266">
        <v>4.0999999999999996</v>
      </c>
      <c r="AB7" s="252"/>
      <c r="AC7" s="239">
        <v>3.3</v>
      </c>
      <c r="AD7" s="239">
        <v>3.5</v>
      </c>
      <c r="AE7" s="242">
        <v>4.2</v>
      </c>
      <c r="AF7" s="265"/>
      <c r="AG7" s="239">
        <v>3.3</v>
      </c>
      <c r="AH7" s="239">
        <v>3.5</v>
      </c>
      <c r="AI7" s="266">
        <v>4.2</v>
      </c>
      <c r="AJ7" s="1266"/>
      <c r="AK7" s="1033"/>
      <c r="AL7" s="1243"/>
      <c r="AM7" s="1239"/>
      <c r="AN7" s="1241"/>
      <c r="AO7" s="1243"/>
      <c r="AP7" s="1239"/>
      <c r="AQ7" s="1241"/>
      <c r="AR7" s="1243"/>
      <c r="AS7" s="1239"/>
      <c r="AT7" s="1241"/>
      <c r="AU7" s="1243"/>
      <c r="AV7" s="1239"/>
      <c r="AW7" s="1241"/>
      <c r="AX7" s="1243"/>
      <c r="AY7" s="1239"/>
      <c r="AZ7" s="1241"/>
      <c r="BA7" s="1243"/>
      <c r="BB7" s="1239"/>
      <c r="BC7" s="1376"/>
      <c r="BD7" s="994"/>
      <c r="BE7" s="1385"/>
      <c r="BF7"/>
      <c r="BG7"/>
      <c r="BH7"/>
      <c r="BI7"/>
      <c r="BJ7"/>
    </row>
    <row r="8" spans="1:62" s="8" customFormat="1" ht="30" customHeight="1" x14ac:dyDescent="0.25">
      <c r="A8" s="1190"/>
      <c r="B8" s="327" t="s">
        <v>149</v>
      </c>
      <c r="C8" s="327"/>
      <c r="D8" s="320"/>
      <c r="E8" s="320"/>
      <c r="F8" s="320"/>
      <c r="G8" s="320">
        <v>3</v>
      </c>
      <c r="H8" s="321">
        <v>3</v>
      </c>
      <c r="I8" s="1252"/>
      <c r="J8" s="1254"/>
      <c r="K8" s="381"/>
      <c r="L8" s="326"/>
      <c r="M8" s="322"/>
      <c r="N8" s="322"/>
      <c r="O8" s="323"/>
      <c r="P8" s="324"/>
      <c r="Q8" s="322"/>
      <c r="R8" s="322"/>
      <c r="S8" s="325"/>
      <c r="T8" s="326"/>
      <c r="U8" s="322"/>
      <c r="V8" s="322"/>
      <c r="W8" s="323"/>
      <c r="X8" s="324"/>
      <c r="Y8" s="322"/>
      <c r="Z8" s="322"/>
      <c r="AA8" s="325"/>
      <c r="AB8" s="326"/>
      <c r="AC8" s="322"/>
      <c r="AD8" s="322"/>
      <c r="AE8" s="323"/>
      <c r="AF8" s="324"/>
      <c r="AG8" s="322"/>
      <c r="AH8" s="322"/>
      <c r="AI8" s="325"/>
      <c r="AJ8" s="1266"/>
      <c r="AK8" s="1033"/>
      <c r="AL8" s="1230"/>
      <c r="AM8" s="1231"/>
      <c r="AN8" s="1232"/>
      <c r="AO8" s="1230"/>
      <c r="AP8" s="1231"/>
      <c r="AQ8" s="1232"/>
      <c r="AR8" s="1230"/>
      <c r="AS8" s="1231"/>
      <c r="AT8" s="1232"/>
      <c r="AU8" s="1230"/>
      <c r="AV8" s="1231"/>
      <c r="AW8" s="1232"/>
      <c r="AX8" s="1230"/>
      <c r="AY8" s="1231"/>
      <c r="AZ8" s="1232"/>
      <c r="BA8" s="1230"/>
      <c r="BB8" s="1231"/>
      <c r="BC8" s="1231"/>
      <c r="BD8" s="994"/>
      <c r="BE8" s="1385"/>
      <c r="BF8"/>
      <c r="BG8"/>
      <c r="BH8"/>
      <c r="BI8"/>
      <c r="BJ8"/>
    </row>
    <row r="9" spans="1:62" s="8" customFormat="1" ht="23.25" customHeight="1" thickBot="1" x14ac:dyDescent="0.3">
      <c r="A9" s="1189"/>
      <c r="B9" s="51" t="s">
        <v>150</v>
      </c>
      <c r="C9" s="51"/>
      <c r="D9" s="70">
        <v>4</v>
      </c>
      <c r="E9" s="70">
        <v>4</v>
      </c>
      <c r="F9" s="70">
        <v>4</v>
      </c>
      <c r="G9" s="70">
        <v>4</v>
      </c>
      <c r="H9" s="70">
        <v>4</v>
      </c>
      <c r="I9" s="1253"/>
      <c r="J9" s="1255"/>
      <c r="K9" s="381"/>
      <c r="L9" s="253"/>
      <c r="M9" s="240"/>
      <c r="N9" s="240"/>
      <c r="O9" s="243">
        <v>4</v>
      </c>
      <c r="P9" s="267"/>
      <c r="Q9" s="240"/>
      <c r="R9" s="240"/>
      <c r="S9" s="268">
        <v>4</v>
      </c>
      <c r="T9" s="253"/>
      <c r="U9" s="240"/>
      <c r="V9" s="240"/>
      <c r="W9" s="243">
        <v>4.0999999999999996</v>
      </c>
      <c r="X9" s="267"/>
      <c r="Y9" s="240"/>
      <c r="Z9" s="240"/>
      <c r="AA9" s="268">
        <v>4.0999999999999996</v>
      </c>
      <c r="AB9" s="253"/>
      <c r="AC9" s="240"/>
      <c r="AD9" s="240"/>
      <c r="AE9" s="243">
        <v>4.2</v>
      </c>
      <c r="AF9" s="267"/>
      <c r="AG9" s="240"/>
      <c r="AH9" s="240"/>
      <c r="AI9" s="268">
        <v>4.2</v>
      </c>
      <c r="AJ9" s="1266"/>
      <c r="AK9" s="1033"/>
      <c r="AL9" s="1233"/>
      <c r="AM9" s="1234"/>
      <c r="AN9" s="1235"/>
      <c r="AO9" s="1233"/>
      <c r="AP9" s="1234"/>
      <c r="AQ9" s="1235"/>
      <c r="AR9" s="1233"/>
      <c r="AS9" s="1234"/>
      <c r="AT9" s="1235"/>
      <c r="AU9" s="1233"/>
      <c r="AV9" s="1234"/>
      <c r="AW9" s="1235"/>
      <c r="AX9" s="1233"/>
      <c r="AY9" s="1234"/>
      <c r="AZ9" s="1235"/>
      <c r="BA9" s="1233"/>
      <c r="BB9" s="1234"/>
      <c r="BC9" s="1234"/>
      <c r="BD9" s="1401"/>
      <c r="BE9" s="1402"/>
      <c r="BF9"/>
      <c r="BG9"/>
      <c r="BH9"/>
      <c r="BI9"/>
      <c r="BJ9"/>
    </row>
    <row r="10" spans="1:62" s="8" customFormat="1" ht="13.8" x14ac:dyDescent="0.25">
      <c r="A10" s="1198" t="s">
        <v>24</v>
      </c>
      <c r="B10" s="14" t="s">
        <v>53</v>
      </c>
      <c r="C10" s="15"/>
      <c r="D10" s="413">
        <v>0.86199999999999999</v>
      </c>
      <c r="E10" s="413">
        <v>0.90500000000000003</v>
      </c>
      <c r="F10" s="413">
        <v>0.95</v>
      </c>
      <c r="G10" s="413">
        <v>0.998</v>
      </c>
      <c r="H10" s="414">
        <v>1.048</v>
      </c>
      <c r="I10" s="119"/>
      <c r="J10" s="428" t="s">
        <v>186</v>
      </c>
      <c r="K10" s="428" t="s">
        <v>186</v>
      </c>
      <c r="L10" s="68">
        <v>1.07</v>
      </c>
      <c r="M10" s="68"/>
      <c r="N10" s="68"/>
      <c r="O10" s="244"/>
      <c r="P10" s="269">
        <v>1.0900000000000001</v>
      </c>
      <c r="Q10" s="68"/>
      <c r="R10" s="68"/>
      <c r="S10" s="69"/>
      <c r="T10" s="254">
        <v>1.1100000000000001</v>
      </c>
      <c r="U10" s="68"/>
      <c r="V10" s="68"/>
      <c r="W10" s="244"/>
      <c r="X10" s="269">
        <v>1.1299999999999999</v>
      </c>
      <c r="Y10" s="68"/>
      <c r="Z10" s="68"/>
      <c r="AA10" s="69"/>
      <c r="AB10" s="254">
        <v>1.1599999999999999</v>
      </c>
      <c r="AC10" s="68"/>
      <c r="AD10" s="68"/>
      <c r="AE10" s="244"/>
      <c r="AF10" s="269">
        <v>1.18</v>
      </c>
      <c r="AG10" s="68"/>
      <c r="AH10" s="68"/>
      <c r="AI10" s="69"/>
      <c r="AL10" s="787">
        <v>1.18</v>
      </c>
      <c r="AM10" s="143"/>
      <c r="AN10" s="144"/>
      <c r="AO10" s="787">
        <v>1.18</v>
      </c>
      <c r="AP10" s="143"/>
      <c r="AQ10" s="144"/>
      <c r="AR10" s="787">
        <v>1.18</v>
      </c>
      <c r="AS10" s="143"/>
      <c r="AT10" s="144"/>
      <c r="AU10" s="787">
        <v>1.18</v>
      </c>
      <c r="AV10" s="143"/>
      <c r="AW10" s="144"/>
      <c r="AX10" s="787">
        <v>1.18</v>
      </c>
      <c r="AY10" s="143"/>
      <c r="AZ10" s="144"/>
      <c r="BA10" s="1006">
        <v>1.97</v>
      </c>
      <c r="BB10" s="143"/>
      <c r="BC10" s="1000"/>
      <c r="BD10" s="1386">
        <f>+($BG$3-BA10)/BA10</f>
        <v>0</v>
      </c>
      <c r="BE10" s="1387">
        <f>+(BA10-AX10)</f>
        <v>0.79</v>
      </c>
    </row>
    <row r="11" spans="1:62" s="8" customFormat="1" ht="13.8" x14ac:dyDescent="0.25">
      <c r="A11" s="1200"/>
      <c r="B11" s="18" t="s">
        <v>54</v>
      </c>
      <c r="C11" s="18"/>
      <c r="D11" s="415">
        <v>0.51700000000000002</v>
      </c>
      <c r="E11" s="415">
        <v>0.54299999999999993</v>
      </c>
      <c r="F11" s="415">
        <v>0.56999999999999995</v>
      </c>
      <c r="G11" s="415">
        <v>0.59800000000000009</v>
      </c>
      <c r="H11" s="416">
        <v>0.628</v>
      </c>
      <c r="I11" s="120"/>
      <c r="J11" s="427" t="s">
        <v>175</v>
      </c>
      <c r="K11" s="427" t="s">
        <v>175</v>
      </c>
      <c r="L11" s="59">
        <v>0.64</v>
      </c>
      <c r="M11" s="59"/>
      <c r="N11" s="59"/>
      <c r="O11" s="245"/>
      <c r="P11" s="270">
        <v>0.65</v>
      </c>
      <c r="Q11" s="59"/>
      <c r="R11" s="59"/>
      <c r="S11" s="60"/>
      <c r="T11" s="255">
        <v>0.67</v>
      </c>
      <c r="U11" s="59"/>
      <c r="V11" s="59"/>
      <c r="W11" s="245"/>
      <c r="X11" s="270">
        <v>0.68</v>
      </c>
      <c r="Y11" s="59"/>
      <c r="Z11" s="59"/>
      <c r="AA11" s="60"/>
      <c r="AB11" s="255">
        <v>0.69</v>
      </c>
      <c r="AC11" s="59"/>
      <c r="AD11" s="59"/>
      <c r="AE11" s="245"/>
      <c r="AF11" s="270">
        <v>0.71</v>
      </c>
      <c r="AG11" s="59"/>
      <c r="AH11" s="59"/>
      <c r="AI11" s="60"/>
      <c r="AL11" s="788"/>
      <c r="AM11" s="788">
        <v>0.71</v>
      </c>
      <c r="AN11" s="146"/>
      <c r="AO11" s="788"/>
      <c r="AP11" s="788">
        <v>0.71</v>
      </c>
      <c r="AQ11" s="146"/>
      <c r="AR11" s="788"/>
      <c r="AS11" s="788">
        <v>0.71</v>
      </c>
      <c r="AT11" s="146"/>
      <c r="AU11" s="788"/>
      <c r="AV11" s="788">
        <v>0.71</v>
      </c>
      <c r="AW11" s="146"/>
      <c r="AX11" s="788"/>
      <c r="AY11" s="788">
        <v>0.71</v>
      </c>
      <c r="AZ11" s="146"/>
      <c r="BA11" s="1001"/>
      <c r="BB11" s="1001">
        <v>1.97</v>
      </c>
      <c r="BC11" s="146"/>
      <c r="BD11" s="1386"/>
      <c r="BE11" s="1385"/>
    </row>
    <row r="12" spans="1:62" s="8" customFormat="1" ht="13.8" x14ac:dyDescent="0.25">
      <c r="A12" s="1200"/>
      <c r="B12" s="18" t="s">
        <v>57</v>
      </c>
      <c r="C12" s="18"/>
      <c r="D12" s="415">
        <v>0.51700000000000002</v>
      </c>
      <c r="E12" s="415">
        <v>0.54299999999999993</v>
      </c>
      <c r="F12" s="415">
        <v>0.56999999999999995</v>
      </c>
      <c r="G12" s="415">
        <v>0.59800000000000009</v>
      </c>
      <c r="H12" s="416">
        <v>0.629</v>
      </c>
      <c r="I12" s="120"/>
      <c r="J12" s="427" t="s">
        <v>176</v>
      </c>
      <c r="K12" s="427" t="s">
        <v>176</v>
      </c>
      <c r="L12" s="59">
        <v>0.72</v>
      </c>
      <c r="M12" s="59"/>
      <c r="N12" s="59"/>
      <c r="O12" s="245"/>
      <c r="P12" s="270">
        <v>0.81</v>
      </c>
      <c r="Q12" s="59"/>
      <c r="R12" s="59"/>
      <c r="S12" s="60"/>
      <c r="T12" s="255">
        <v>0.9</v>
      </c>
      <c r="U12" s="59"/>
      <c r="V12" s="59"/>
      <c r="W12" s="245"/>
      <c r="X12" s="270">
        <v>1</v>
      </c>
      <c r="Y12" s="59"/>
      <c r="Z12" s="59"/>
      <c r="AA12" s="60"/>
      <c r="AB12" s="255">
        <v>1.0900000000000001</v>
      </c>
      <c r="AC12" s="59"/>
      <c r="AD12" s="59"/>
      <c r="AE12" s="245"/>
      <c r="AF12" s="270">
        <v>1.18</v>
      </c>
      <c r="AG12" s="59"/>
      <c r="AH12" s="59"/>
      <c r="AI12" s="60"/>
      <c r="AL12" s="788">
        <v>1.18</v>
      </c>
      <c r="AM12" s="145"/>
      <c r="AN12" s="146"/>
      <c r="AO12" s="788">
        <v>1.18</v>
      </c>
      <c r="AP12" s="145"/>
      <c r="AQ12" s="146"/>
      <c r="AR12" s="788">
        <v>1.18</v>
      </c>
      <c r="AS12" s="145"/>
      <c r="AT12" s="146"/>
      <c r="AU12" s="788">
        <v>1.18</v>
      </c>
      <c r="AV12" s="145"/>
      <c r="AW12" s="146"/>
      <c r="AX12" s="788">
        <v>1.18</v>
      </c>
      <c r="AY12" s="145"/>
      <c r="AZ12" s="146"/>
      <c r="BA12" s="1001">
        <v>1.97</v>
      </c>
      <c r="BB12" s="145"/>
      <c r="BC12" s="146"/>
      <c r="BD12" s="1386"/>
      <c r="BE12" s="1385"/>
    </row>
    <row r="13" spans="1:62" s="8" customFormat="1" ht="13.8" x14ac:dyDescent="0.25">
      <c r="A13" s="1200"/>
      <c r="B13" s="18" t="s">
        <v>58</v>
      </c>
      <c r="C13" s="18"/>
      <c r="D13" s="415">
        <v>2.5899999999999999E-2</v>
      </c>
      <c r="E13" s="415">
        <v>0.27200000000000002</v>
      </c>
      <c r="F13" s="415">
        <v>0.28499999999999998</v>
      </c>
      <c r="G13" s="415">
        <v>0.29900000000000004</v>
      </c>
      <c r="H13" s="416">
        <v>0.314</v>
      </c>
      <c r="I13" s="120"/>
      <c r="J13" s="427" t="s">
        <v>177</v>
      </c>
      <c r="K13" s="427" t="s">
        <v>177</v>
      </c>
      <c r="L13" s="59">
        <v>0.46</v>
      </c>
      <c r="M13" s="59"/>
      <c r="N13" s="59"/>
      <c r="O13" s="245"/>
      <c r="P13" s="270">
        <v>0.6</v>
      </c>
      <c r="Q13" s="59"/>
      <c r="R13" s="59"/>
      <c r="S13" s="60"/>
      <c r="T13" s="255">
        <v>0.75</v>
      </c>
      <c r="U13" s="59"/>
      <c r="V13" s="59"/>
      <c r="W13" s="245"/>
      <c r="X13" s="270">
        <v>0.89</v>
      </c>
      <c r="Y13" s="59"/>
      <c r="Z13" s="59"/>
      <c r="AA13" s="60"/>
      <c r="AB13" s="255">
        <v>1.04</v>
      </c>
      <c r="AC13" s="59"/>
      <c r="AD13" s="59"/>
      <c r="AE13" s="245"/>
      <c r="AF13" s="270">
        <v>1.18</v>
      </c>
      <c r="AG13" s="59"/>
      <c r="AH13" s="59"/>
      <c r="AI13" s="60"/>
      <c r="AL13" s="801"/>
      <c r="AM13" s="780"/>
      <c r="AN13" s="802"/>
      <c r="AO13" s="801"/>
      <c r="AP13" s="780"/>
      <c r="AQ13" s="802"/>
      <c r="AR13" s="801"/>
      <c r="AS13" s="780"/>
      <c r="AT13" s="802"/>
      <c r="AU13" s="801"/>
      <c r="AV13" s="780"/>
      <c r="AW13" s="802"/>
      <c r="AX13" s="801"/>
      <c r="AY13" s="780"/>
      <c r="AZ13" s="802"/>
      <c r="BA13" s="1005"/>
      <c r="BB13" s="780"/>
      <c r="BC13" s="802"/>
      <c r="BD13" s="1388"/>
      <c r="BE13" s="1385"/>
    </row>
    <row r="14" spans="1:62" s="8" customFormat="1" ht="13.8" x14ac:dyDescent="0.25">
      <c r="A14" s="1200"/>
      <c r="B14" s="18" t="s">
        <v>59</v>
      </c>
      <c r="C14" s="18"/>
      <c r="D14" s="415">
        <v>8.5999999999999993E-2</v>
      </c>
      <c r="E14" s="415">
        <v>9.0999999999999998E-2</v>
      </c>
      <c r="F14" s="415">
        <v>9.5000000000000001E-2</v>
      </c>
      <c r="G14" s="415">
        <v>0.1</v>
      </c>
      <c r="H14" s="416">
        <v>0.105</v>
      </c>
      <c r="I14" s="120"/>
      <c r="J14" s="427" t="s">
        <v>181</v>
      </c>
      <c r="K14" s="427" t="s">
        <v>181</v>
      </c>
      <c r="L14" s="59">
        <v>0.28000000000000003</v>
      </c>
      <c r="M14" s="59"/>
      <c r="N14" s="59"/>
      <c r="O14" s="245"/>
      <c r="P14" s="270">
        <v>0.46</v>
      </c>
      <c r="Q14" s="59"/>
      <c r="R14" s="59"/>
      <c r="S14" s="60"/>
      <c r="T14" s="255">
        <v>0.64</v>
      </c>
      <c r="U14" s="59"/>
      <c r="V14" s="59"/>
      <c r="W14" s="245"/>
      <c r="X14" s="270">
        <v>0.82</v>
      </c>
      <c r="Y14" s="59"/>
      <c r="Z14" s="59"/>
      <c r="AA14" s="60"/>
      <c r="AB14" s="255">
        <v>1</v>
      </c>
      <c r="AC14" s="59"/>
      <c r="AD14" s="59"/>
      <c r="AE14" s="245"/>
      <c r="AF14" s="270">
        <v>1.18</v>
      </c>
      <c r="AG14" s="59"/>
      <c r="AH14" s="59"/>
      <c r="AI14" s="60"/>
      <c r="AL14" s="801"/>
      <c r="AM14" s="780"/>
      <c r="AN14" s="802"/>
      <c r="AO14" s="801"/>
      <c r="AP14" s="780"/>
      <c r="AQ14" s="802"/>
      <c r="AR14" s="801"/>
      <c r="AS14" s="780"/>
      <c r="AT14" s="802"/>
      <c r="AU14" s="801"/>
      <c r="AV14" s="780"/>
      <c r="AW14" s="802"/>
      <c r="AX14" s="801"/>
      <c r="AY14" s="780"/>
      <c r="AZ14" s="802"/>
      <c r="BA14" s="801"/>
      <c r="BB14" s="780"/>
      <c r="BC14" s="802"/>
      <c r="BD14" s="1388"/>
      <c r="BE14" s="1385"/>
    </row>
    <row r="15" spans="1:62" s="8" customFormat="1" ht="13.8" x14ac:dyDescent="0.25">
      <c r="A15" s="1200"/>
      <c r="B15" s="18" t="s">
        <v>55</v>
      </c>
      <c r="C15" s="18"/>
      <c r="D15" s="415">
        <v>0.99199999999999999</v>
      </c>
      <c r="E15" s="415">
        <v>1.0349999999999999</v>
      </c>
      <c r="F15" s="415">
        <v>1.08</v>
      </c>
      <c r="G15" s="415">
        <v>1.1279999999999999</v>
      </c>
      <c r="H15" s="416">
        <v>1.1779999999999999</v>
      </c>
      <c r="I15" s="120"/>
      <c r="J15" s="427" t="s">
        <v>178</v>
      </c>
      <c r="K15" s="427" t="s">
        <v>178</v>
      </c>
      <c r="L15" s="59">
        <v>1.2</v>
      </c>
      <c r="M15" s="59"/>
      <c r="N15" s="59"/>
      <c r="O15" s="245"/>
      <c r="P15" s="270">
        <v>1.0900000000000001</v>
      </c>
      <c r="Q15" s="59"/>
      <c r="R15" s="59"/>
      <c r="S15" s="60"/>
      <c r="T15" s="255">
        <v>1.1100000000000001</v>
      </c>
      <c r="U15" s="59"/>
      <c r="V15" s="59"/>
      <c r="W15" s="245"/>
      <c r="X15" s="270">
        <v>1.1299999999999999</v>
      </c>
      <c r="Y15" s="59"/>
      <c r="Z15" s="59"/>
      <c r="AA15" s="60"/>
      <c r="AB15" s="255">
        <v>1.1599999999999999</v>
      </c>
      <c r="AC15" s="59"/>
      <c r="AD15" s="59"/>
      <c r="AE15" s="245"/>
      <c r="AF15" s="270">
        <v>1.18</v>
      </c>
      <c r="AG15" s="59"/>
      <c r="AH15" s="59"/>
      <c r="AI15" s="60"/>
      <c r="AL15" s="801"/>
      <c r="AM15" s="780"/>
      <c r="AN15" s="802"/>
      <c r="AO15" s="801"/>
      <c r="AP15" s="780"/>
      <c r="AQ15" s="802"/>
      <c r="AR15" s="801"/>
      <c r="AS15" s="780"/>
      <c r="AT15" s="802"/>
      <c r="AU15" s="801"/>
      <c r="AV15" s="780"/>
      <c r="AW15" s="802"/>
      <c r="AX15" s="801"/>
      <c r="AY15" s="780"/>
      <c r="AZ15" s="802"/>
      <c r="BA15" s="801"/>
      <c r="BB15" s="780"/>
      <c r="BC15" s="802"/>
      <c r="BD15" s="1388"/>
      <c r="BE15" s="1385"/>
    </row>
    <row r="16" spans="1:62" s="8" customFormat="1" ht="13.8" x14ac:dyDescent="0.25">
      <c r="A16" s="1200"/>
      <c r="B16" s="18" t="s">
        <v>56</v>
      </c>
      <c r="C16" s="18"/>
      <c r="D16" s="415">
        <v>3</v>
      </c>
      <c r="E16" s="415">
        <v>3</v>
      </c>
      <c r="F16" s="415">
        <v>3</v>
      </c>
      <c r="G16" s="415">
        <v>3</v>
      </c>
      <c r="H16" s="416">
        <v>3</v>
      </c>
      <c r="I16" s="120"/>
      <c r="J16" s="427" t="s">
        <v>184</v>
      </c>
      <c r="K16" s="427" t="s">
        <v>184</v>
      </c>
      <c r="L16" s="59">
        <v>3.05</v>
      </c>
      <c r="M16" s="59"/>
      <c r="N16" s="59"/>
      <c r="O16" s="245"/>
      <c r="P16" s="270">
        <v>3.1</v>
      </c>
      <c r="Q16" s="59"/>
      <c r="R16" s="59"/>
      <c r="S16" s="60"/>
      <c r="T16" s="255">
        <v>3.2</v>
      </c>
      <c r="U16" s="59"/>
      <c r="V16" s="59"/>
      <c r="W16" s="245"/>
      <c r="X16" s="270">
        <v>3.25</v>
      </c>
      <c r="Y16" s="59"/>
      <c r="Z16" s="59"/>
      <c r="AA16" s="60"/>
      <c r="AB16" s="255">
        <v>3.3</v>
      </c>
      <c r="AC16" s="59"/>
      <c r="AD16" s="59"/>
      <c r="AE16" s="245"/>
      <c r="AF16" s="270">
        <v>3.4</v>
      </c>
      <c r="AG16" s="59"/>
      <c r="AH16" s="59"/>
      <c r="AI16" s="60"/>
      <c r="AL16" s="203"/>
      <c r="AM16" s="789">
        <v>3.4</v>
      </c>
      <c r="AN16" s="146"/>
      <c r="AO16" s="203"/>
      <c r="AP16" s="789">
        <v>3.4</v>
      </c>
      <c r="AQ16" s="146"/>
      <c r="AR16" s="203"/>
      <c r="AS16" s="789">
        <v>3.4</v>
      </c>
      <c r="AT16" s="146"/>
      <c r="AU16" s="203"/>
      <c r="AV16" s="789">
        <v>3.4</v>
      </c>
      <c r="AW16" s="146"/>
      <c r="AX16" s="203"/>
      <c r="AY16" s="789">
        <v>3.4</v>
      </c>
      <c r="AZ16" s="146"/>
      <c r="BA16" s="203"/>
      <c r="BB16" s="1007">
        <v>3.4</v>
      </c>
      <c r="BC16" s="146"/>
      <c r="BD16" s="1386"/>
      <c r="BE16" s="1385"/>
    </row>
    <row r="17" spans="1:57" s="8" customFormat="1" ht="13.8" x14ac:dyDescent="0.25">
      <c r="A17" s="1200"/>
      <c r="B17" s="18" t="s">
        <v>60</v>
      </c>
      <c r="C17" s="18"/>
      <c r="D17" s="415">
        <v>1.1460000000000001</v>
      </c>
      <c r="E17" s="415">
        <v>1.204</v>
      </c>
      <c r="F17" s="415">
        <v>1.264</v>
      </c>
      <c r="G17" s="415">
        <v>1.327</v>
      </c>
      <c r="H17" s="416">
        <v>1.3939999999999999</v>
      </c>
      <c r="I17" s="120"/>
      <c r="J17" s="427" t="s">
        <v>15</v>
      </c>
      <c r="K17" s="427" t="s">
        <v>15</v>
      </c>
      <c r="L17" s="59">
        <v>1.42</v>
      </c>
      <c r="M17" s="59"/>
      <c r="N17" s="59"/>
      <c r="O17" s="245"/>
      <c r="P17" s="270">
        <v>1.45</v>
      </c>
      <c r="Q17" s="59"/>
      <c r="R17" s="59"/>
      <c r="S17" s="60"/>
      <c r="T17" s="255">
        <v>1.48</v>
      </c>
      <c r="U17" s="59"/>
      <c r="V17" s="59"/>
      <c r="W17" s="245"/>
      <c r="X17" s="270">
        <v>1.51</v>
      </c>
      <c r="Y17" s="59"/>
      <c r="Z17" s="59"/>
      <c r="AA17" s="60"/>
      <c r="AB17" s="255">
        <v>1.54</v>
      </c>
      <c r="AC17" s="59"/>
      <c r="AD17" s="59"/>
      <c r="AE17" s="245"/>
      <c r="AF17" s="270">
        <v>1.57</v>
      </c>
      <c r="AG17" s="59"/>
      <c r="AH17" s="59"/>
      <c r="AI17" s="60"/>
      <c r="AL17" s="203"/>
      <c r="AM17" s="145"/>
      <c r="AN17" s="790">
        <v>1.57</v>
      </c>
      <c r="AO17" s="203"/>
      <c r="AP17" s="145"/>
      <c r="AQ17" s="790">
        <v>1.57</v>
      </c>
      <c r="AR17" s="203"/>
      <c r="AS17" s="145"/>
      <c r="AT17" s="790">
        <v>1.57</v>
      </c>
      <c r="AU17" s="203"/>
      <c r="AV17" s="145"/>
      <c r="AW17" s="790">
        <v>1.57</v>
      </c>
      <c r="AX17" s="203"/>
      <c r="AY17" s="145"/>
      <c r="AZ17" s="790">
        <v>1.57</v>
      </c>
      <c r="BA17" s="203"/>
      <c r="BB17" s="145"/>
      <c r="BC17" s="1378">
        <v>3.93</v>
      </c>
      <c r="BD17" s="1389"/>
      <c r="BE17" s="1387">
        <f>+(BC17-AZ17)/AZ17</f>
        <v>1.5031847133757963</v>
      </c>
    </row>
    <row r="18" spans="1:57" s="8" customFormat="1" ht="13.8" x14ac:dyDescent="0.25">
      <c r="A18" s="1200"/>
      <c r="B18" s="18" t="s">
        <v>61</v>
      </c>
      <c r="C18" s="18"/>
      <c r="D18" s="415">
        <v>6.88E-2</v>
      </c>
      <c r="E18" s="415">
        <v>0.7722</v>
      </c>
      <c r="F18" s="415">
        <v>0.75800000000000001</v>
      </c>
      <c r="G18" s="415">
        <v>0.79600000000000004</v>
      </c>
      <c r="H18" s="416">
        <v>0.83599999999999997</v>
      </c>
      <c r="I18" s="120"/>
      <c r="J18" s="427" t="s">
        <v>179</v>
      </c>
      <c r="K18" s="427" t="s">
        <v>179</v>
      </c>
      <c r="L18" s="59">
        <v>0.85</v>
      </c>
      <c r="M18" s="59"/>
      <c r="N18" s="59"/>
      <c r="O18" s="245"/>
      <c r="P18" s="270">
        <v>0.87</v>
      </c>
      <c r="Q18" s="59"/>
      <c r="R18" s="59"/>
      <c r="S18" s="60"/>
      <c r="T18" s="255">
        <v>0.89</v>
      </c>
      <c r="U18" s="59"/>
      <c r="V18" s="59"/>
      <c r="W18" s="245"/>
      <c r="X18" s="270">
        <v>0.91</v>
      </c>
      <c r="Y18" s="59"/>
      <c r="Z18" s="59"/>
      <c r="AA18" s="60"/>
      <c r="AB18" s="255">
        <v>0.92</v>
      </c>
      <c r="AC18" s="59"/>
      <c r="AD18" s="59"/>
      <c r="AE18" s="245"/>
      <c r="AF18" s="270">
        <v>0.94</v>
      </c>
      <c r="AG18" s="59"/>
      <c r="AH18" s="59"/>
      <c r="AI18" s="60"/>
      <c r="AL18" s="203"/>
      <c r="AM18" s="145"/>
      <c r="AN18" s="790">
        <v>0.94</v>
      </c>
      <c r="AO18" s="203"/>
      <c r="AP18" s="145"/>
      <c r="AQ18" s="790">
        <v>0.94</v>
      </c>
      <c r="AR18" s="203"/>
      <c r="AS18" s="145"/>
      <c r="AT18" s="790">
        <v>0.94</v>
      </c>
      <c r="AU18" s="203"/>
      <c r="AV18" s="145"/>
      <c r="AW18" s="790">
        <v>0.94</v>
      </c>
      <c r="AX18" s="203"/>
      <c r="AY18" s="145"/>
      <c r="AZ18" s="790">
        <v>0.94</v>
      </c>
      <c r="BA18" s="203"/>
      <c r="BB18" s="145"/>
      <c r="BC18" s="1378">
        <v>3.93</v>
      </c>
      <c r="BD18" s="1389"/>
      <c r="BE18" s="1387">
        <f>+(BC18-AZ18)/AZ18</f>
        <v>3.1808510638297878</v>
      </c>
    </row>
    <row r="19" spans="1:57" s="8" customFormat="1" ht="13.8" x14ac:dyDescent="0.25">
      <c r="A19" s="1200"/>
      <c r="B19" s="18" t="s">
        <v>65</v>
      </c>
      <c r="C19" s="18"/>
      <c r="D19" s="415">
        <v>0.51700000000000002</v>
      </c>
      <c r="E19" s="415">
        <v>0.54299999999999993</v>
      </c>
      <c r="F19" s="415">
        <v>0.56999999999999995</v>
      </c>
      <c r="G19" s="415">
        <v>0.59800000000000009</v>
      </c>
      <c r="H19" s="416">
        <v>0.629</v>
      </c>
      <c r="I19" s="120"/>
      <c r="J19" s="427" t="s">
        <v>180</v>
      </c>
      <c r="K19" s="427" t="s">
        <v>180</v>
      </c>
      <c r="L19" s="59">
        <v>0.72</v>
      </c>
      <c r="M19" s="59"/>
      <c r="N19" s="59"/>
      <c r="O19" s="245"/>
      <c r="P19" s="270">
        <v>0.81</v>
      </c>
      <c r="Q19" s="59"/>
      <c r="R19" s="59"/>
      <c r="S19" s="60"/>
      <c r="T19" s="255">
        <v>0.9</v>
      </c>
      <c r="U19" s="59"/>
      <c r="V19" s="59"/>
      <c r="W19" s="245"/>
      <c r="X19" s="270">
        <v>1</v>
      </c>
      <c r="Y19" s="59"/>
      <c r="Z19" s="59"/>
      <c r="AA19" s="60"/>
      <c r="AB19" s="255">
        <v>1.0900000000000001</v>
      </c>
      <c r="AC19" s="59"/>
      <c r="AD19" s="59"/>
      <c r="AE19" s="245"/>
      <c r="AF19" s="270">
        <v>1.18</v>
      </c>
      <c r="AG19" s="59"/>
      <c r="AH19" s="59"/>
      <c r="AI19" s="60"/>
      <c r="AL19" s="801"/>
      <c r="AM19" s="780"/>
      <c r="AN19" s="802"/>
      <c r="AO19" s="801"/>
      <c r="AP19" s="780"/>
      <c r="AQ19" s="802"/>
      <c r="AR19" s="801"/>
      <c r="AS19" s="780"/>
      <c r="AT19" s="802"/>
      <c r="AU19" s="801"/>
      <c r="AV19" s="780"/>
      <c r="AW19" s="802"/>
      <c r="AX19" s="801"/>
      <c r="AY19" s="780"/>
      <c r="AZ19" s="802"/>
      <c r="BA19" s="801"/>
      <c r="BB19" s="780"/>
      <c r="BC19" s="802"/>
      <c r="BD19" s="1388"/>
      <c r="BE19" s="1385"/>
    </row>
    <row r="20" spans="1:57" s="8" customFormat="1" ht="13.8" x14ac:dyDescent="0.25">
      <c r="A20" s="1200"/>
      <c r="B20" s="18" t="s">
        <v>66</v>
      </c>
      <c r="C20" s="18"/>
      <c r="D20" s="415">
        <v>2.5899999999999999E-2</v>
      </c>
      <c r="E20" s="415">
        <v>0.27200000000000002</v>
      </c>
      <c r="F20" s="415">
        <v>0.28499999999999998</v>
      </c>
      <c r="G20" s="415">
        <v>0.29900000000000004</v>
      </c>
      <c r="H20" s="416">
        <v>0.314</v>
      </c>
      <c r="I20" s="120"/>
      <c r="J20" s="427" t="s">
        <v>180</v>
      </c>
      <c r="K20" s="427" t="s">
        <v>180</v>
      </c>
      <c r="L20" s="59">
        <v>0.46</v>
      </c>
      <c r="M20" s="59"/>
      <c r="N20" s="59"/>
      <c r="O20" s="245"/>
      <c r="P20" s="270">
        <v>0.6</v>
      </c>
      <c r="Q20" s="59"/>
      <c r="R20" s="59"/>
      <c r="S20" s="60"/>
      <c r="T20" s="255">
        <v>0.75</v>
      </c>
      <c r="U20" s="59"/>
      <c r="V20" s="59"/>
      <c r="W20" s="245"/>
      <c r="X20" s="270">
        <v>0.89</v>
      </c>
      <c r="Y20" s="59"/>
      <c r="Z20" s="59"/>
      <c r="AA20" s="60"/>
      <c r="AB20" s="255">
        <v>1.04</v>
      </c>
      <c r="AC20" s="59"/>
      <c r="AD20" s="59"/>
      <c r="AE20" s="245"/>
      <c r="AF20" s="270">
        <v>1.18</v>
      </c>
      <c r="AG20" s="59"/>
      <c r="AH20" s="59"/>
      <c r="AI20" s="60"/>
      <c r="AL20" s="801"/>
      <c r="AM20" s="780"/>
      <c r="AN20" s="802"/>
      <c r="AO20" s="801"/>
      <c r="AP20" s="780"/>
      <c r="AQ20" s="802"/>
      <c r="AR20" s="801"/>
      <c r="AS20" s="780"/>
      <c r="AT20" s="802"/>
      <c r="AU20" s="801"/>
      <c r="AV20" s="780"/>
      <c r="AW20" s="802"/>
      <c r="AX20" s="801"/>
      <c r="AY20" s="780"/>
      <c r="AZ20" s="802"/>
      <c r="BA20" s="801"/>
      <c r="BB20" s="780"/>
      <c r="BC20" s="802"/>
      <c r="BD20" s="1388"/>
      <c r="BE20" s="1385"/>
    </row>
    <row r="21" spans="1:57" s="8" customFormat="1" ht="13.8" x14ac:dyDescent="0.25">
      <c r="A21" s="1200"/>
      <c r="B21" s="18" t="s">
        <v>67</v>
      </c>
      <c r="C21" s="18"/>
      <c r="D21" s="415">
        <v>8.5999999999999993E-2</v>
      </c>
      <c r="E21" s="415">
        <v>9.0999999999999998E-2</v>
      </c>
      <c r="F21" s="415">
        <v>9.5000000000000001E-2</v>
      </c>
      <c r="G21" s="415">
        <v>0.1</v>
      </c>
      <c r="H21" s="416">
        <v>0.105</v>
      </c>
      <c r="I21" s="120"/>
      <c r="J21" s="427" t="s">
        <v>182</v>
      </c>
      <c r="K21" s="427" t="s">
        <v>182</v>
      </c>
      <c r="L21" s="59">
        <v>0.28000000000000003</v>
      </c>
      <c r="M21" s="59"/>
      <c r="N21" s="59"/>
      <c r="O21" s="245"/>
      <c r="P21" s="270">
        <v>0.46</v>
      </c>
      <c r="Q21" s="59"/>
      <c r="R21" s="59"/>
      <c r="S21" s="60"/>
      <c r="T21" s="255">
        <v>0.64</v>
      </c>
      <c r="U21" s="59"/>
      <c r="V21" s="59"/>
      <c r="W21" s="245"/>
      <c r="X21" s="270">
        <v>0.82</v>
      </c>
      <c r="Y21" s="59"/>
      <c r="Z21" s="59"/>
      <c r="AA21" s="60"/>
      <c r="AB21" s="255">
        <v>1</v>
      </c>
      <c r="AC21" s="59"/>
      <c r="AD21" s="59"/>
      <c r="AE21" s="245"/>
      <c r="AF21" s="270">
        <v>1.18</v>
      </c>
      <c r="AG21" s="59"/>
      <c r="AH21" s="59"/>
      <c r="AI21" s="60"/>
      <c r="AL21" s="801"/>
      <c r="AM21" s="780"/>
      <c r="AN21" s="802"/>
      <c r="AO21" s="801"/>
      <c r="AP21" s="780"/>
      <c r="AQ21" s="802"/>
      <c r="AR21" s="801"/>
      <c r="AS21" s="780"/>
      <c r="AT21" s="802"/>
      <c r="AU21" s="801"/>
      <c r="AV21" s="780"/>
      <c r="AW21" s="802"/>
      <c r="AX21" s="801"/>
      <c r="AY21" s="780"/>
      <c r="AZ21" s="802"/>
      <c r="BA21" s="801"/>
      <c r="BB21" s="780"/>
      <c r="BC21" s="802"/>
      <c r="BD21" s="1388"/>
      <c r="BE21" s="1385"/>
    </row>
    <row r="22" spans="1:57" s="8" customFormat="1" ht="13.8" x14ac:dyDescent="0.25">
      <c r="A22" s="1200"/>
      <c r="B22" s="18" t="s">
        <v>62</v>
      </c>
      <c r="C22" s="18"/>
      <c r="D22" s="415">
        <v>1.276</v>
      </c>
      <c r="E22" s="415">
        <v>1.3340000000000001</v>
      </c>
      <c r="F22" s="415">
        <v>1.3939999999999999</v>
      </c>
      <c r="G22" s="415">
        <v>1.4570000000000001</v>
      </c>
      <c r="H22" s="416">
        <v>1.524</v>
      </c>
      <c r="I22" s="120"/>
      <c r="J22" s="427" t="s">
        <v>183</v>
      </c>
      <c r="K22" s="427" t="s">
        <v>183</v>
      </c>
      <c r="L22" s="420">
        <v>1.55</v>
      </c>
      <c r="M22" s="59"/>
      <c r="N22" s="59"/>
      <c r="O22" s="245"/>
      <c r="P22" s="270">
        <v>1.45</v>
      </c>
      <c r="Q22" s="59"/>
      <c r="R22" s="59"/>
      <c r="S22" s="60"/>
      <c r="T22" s="255">
        <v>1.48</v>
      </c>
      <c r="U22" s="59"/>
      <c r="V22" s="59"/>
      <c r="W22" s="245"/>
      <c r="X22" s="270">
        <v>1.51</v>
      </c>
      <c r="Y22" s="59"/>
      <c r="Z22" s="59"/>
      <c r="AA22" s="60"/>
      <c r="AB22" s="255">
        <v>1.54</v>
      </c>
      <c r="AC22" s="59"/>
      <c r="AD22" s="59"/>
      <c r="AE22" s="245"/>
      <c r="AF22" s="270">
        <v>1.57</v>
      </c>
      <c r="AG22" s="59"/>
      <c r="AH22" s="59"/>
      <c r="AI22" s="60"/>
      <c r="AL22" s="803"/>
      <c r="AM22" s="780"/>
      <c r="AN22" s="802"/>
      <c r="AO22" s="803"/>
      <c r="AP22" s="780"/>
      <c r="AQ22" s="802"/>
      <c r="AR22" s="803"/>
      <c r="AS22" s="780"/>
      <c r="AT22" s="802"/>
      <c r="AU22" s="803"/>
      <c r="AV22" s="780"/>
      <c r="AW22" s="802"/>
      <c r="AX22" s="803"/>
      <c r="AY22" s="780"/>
      <c r="AZ22" s="802"/>
      <c r="BA22" s="803"/>
      <c r="BB22" s="780"/>
      <c r="BC22" s="802"/>
      <c r="BD22" s="1388"/>
      <c r="BE22" s="1385"/>
    </row>
    <row r="23" spans="1:57" s="8" customFormat="1" ht="13.8" x14ac:dyDescent="0.25">
      <c r="A23" s="1200"/>
      <c r="B23" s="18" t="s">
        <v>63</v>
      </c>
      <c r="C23" s="18"/>
      <c r="D23" s="415">
        <v>3</v>
      </c>
      <c r="E23" s="415">
        <v>3.15</v>
      </c>
      <c r="F23" s="415">
        <v>3.3079999999999998</v>
      </c>
      <c r="G23" s="415">
        <v>3.4729999999999999</v>
      </c>
      <c r="H23" s="416">
        <v>3.6469999999999998</v>
      </c>
      <c r="I23" s="120"/>
      <c r="J23" s="427" t="s">
        <v>184</v>
      </c>
      <c r="K23" s="427" t="s">
        <v>184</v>
      </c>
      <c r="L23" s="59">
        <v>3.7</v>
      </c>
      <c r="M23" s="59"/>
      <c r="N23" s="59"/>
      <c r="O23" s="245"/>
      <c r="P23" s="270">
        <v>3.8</v>
      </c>
      <c r="Q23" s="59"/>
      <c r="R23" s="59"/>
      <c r="S23" s="60"/>
      <c r="T23" s="255">
        <v>3.9</v>
      </c>
      <c r="U23" s="59"/>
      <c r="V23" s="59"/>
      <c r="W23" s="245"/>
      <c r="X23" s="270">
        <v>3.95</v>
      </c>
      <c r="Y23" s="59"/>
      <c r="Z23" s="59"/>
      <c r="AA23" s="60"/>
      <c r="AB23" s="255">
        <v>4</v>
      </c>
      <c r="AC23" s="59"/>
      <c r="AD23" s="59"/>
      <c r="AE23" s="245"/>
      <c r="AF23" s="270">
        <v>4.0999999999999996</v>
      </c>
      <c r="AG23" s="59"/>
      <c r="AH23" s="59"/>
      <c r="AI23" s="60"/>
      <c r="AL23" s="203"/>
      <c r="AM23" s="145"/>
      <c r="AN23" s="790">
        <v>4.0999999999999996</v>
      </c>
      <c r="AO23" s="203"/>
      <c r="AP23" s="145"/>
      <c r="AQ23" s="790">
        <v>4.0999999999999996</v>
      </c>
      <c r="AR23" s="203"/>
      <c r="AS23" s="145"/>
      <c r="AT23" s="790">
        <v>4.0999999999999996</v>
      </c>
      <c r="AU23" s="203"/>
      <c r="AV23" s="145"/>
      <c r="AW23" s="790">
        <v>4.0999999999999996</v>
      </c>
      <c r="AX23" s="203"/>
      <c r="AY23" s="145"/>
      <c r="AZ23" s="790">
        <v>4.0999999999999996</v>
      </c>
      <c r="BA23" s="203"/>
      <c r="BB23" s="145"/>
      <c r="BC23" s="1378">
        <v>3.93</v>
      </c>
      <c r="BD23" s="1389"/>
      <c r="BE23" s="1387">
        <f>+(BC23-AZ23)/AZ23</f>
        <v>-4.1463414634146219E-2</v>
      </c>
    </row>
    <row r="24" spans="1:57" s="8" customFormat="1" ht="13.8" x14ac:dyDescent="0.25">
      <c r="A24" s="1204"/>
      <c r="B24" s="1258" t="s">
        <v>64</v>
      </c>
      <c r="C24" s="405">
        <v>2</v>
      </c>
      <c r="D24" s="417">
        <v>3.24</v>
      </c>
      <c r="E24" s="417">
        <v>3.4020000000000001</v>
      </c>
      <c r="F24" s="417">
        <v>3.5720000000000001</v>
      </c>
      <c r="G24" s="417">
        <v>3.7509999999999999</v>
      </c>
      <c r="H24" s="425">
        <v>3.9380000000000002</v>
      </c>
      <c r="I24" s="423"/>
      <c r="J24" s="1261" t="s">
        <v>185</v>
      </c>
      <c r="K24" s="1261" t="s">
        <v>185</v>
      </c>
      <c r="L24" s="406">
        <v>4</v>
      </c>
      <c r="M24" s="406"/>
      <c r="N24" s="406"/>
      <c r="O24" s="407"/>
      <c r="P24" s="408">
        <v>4.0999999999999996</v>
      </c>
      <c r="Q24" s="406"/>
      <c r="R24" s="406"/>
      <c r="S24" s="409"/>
      <c r="T24" s="410">
        <v>4.2</v>
      </c>
      <c r="U24" s="406"/>
      <c r="V24" s="406"/>
      <c r="W24" s="407"/>
      <c r="X24" s="408">
        <v>4.3</v>
      </c>
      <c r="Y24" s="406"/>
      <c r="Z24" s="406"/>
      <c r="AA24" s="409"/>
      <c r="AB24" s="410">
        <v>4.4000000000000004</v>
      </c>
      <c r="AC24" s="406"/>
      <c r="AD24" s="406"/>
      <c r="AE24" s="407"/>
      <c r="AF24" s="408">
        <v>4.4000000000000004</v>
      </c>
      <c r="AG24" s="406"/>
      <c r="AH24" s="406"/>
      <c r="AI24" s="409"/>
      <c r="AL24" s="791"/>
      <c r="AM24" s="792"/>
      <c r="AN24" s="793"/>
      <c r="AO24" s="791"/>
      <c r="AP24" s="792"/>
      <c r="AQ24" s="794"/>
      <c r="AR24" s="795"/>
      <c r="AS24" s="792"/>
      <c r="AT24" s="793"/>
      <c r="AU24" s="791"/>
      <c r="AV24" s="792"/>
      <c r="AW24" s="794"/>
      <c r="AX24" s="795"/>
      <c r="AY24" s="792"/>
      <c r="AZ24" s="793"/>
      <c r="BA24" s="791"/>
      <c r="BB24" s="792"/>
      <c r="BC24" s="793"/>
      <c r="BD24" s="1388"/>
      <c r="BE24" s="1385"/>
    </row>
    <row r="25" spans="1:57" s="8" customFormat="1" ht="14.25" customHeight="1" x14ac:dyDescent="0.25">
      <c r="A25" s="1204"/>
      <c r="B25" s="1259"/>
      <c r="C25" s="28">
        <v>3</v>
      </c>
      <c r="D25" s="417">
        <v>3.48</v>
      </c>
      <c r="E25" s="417">
        <v>3.6539999999999999</v>
      </c>
      <c r="F25" s="417">
        <v>3.8370000000000002</v>
      </c>
      <c r="G25" s="417">
        <v>4</v>
      </c>
      <c r="H25" s="425">
        <v>4</v>
      </c>
      <c r="I25" s="423"/>
      <c r="J25" s="1262"/>
      <c r="K25" s="1262"/>
      <c r="L25" s="406">
        <v>4.3</v>
      </c>
      <c r="M25" s="406"/>
      <c r="N25" s="406"/>
      <c r="O25" s="407"/>
      <c r="P25" s="408">
        <v>4.4000000000000004</v>
      </c>
      <c r="Q25" s="406"/>
      <c r="R25" s="406"/>
      <c r="S25" s="409"/>
      <c r="T25" s="410">
        <v>4.5</v>
      </c>
      <c r="U25" s="406"/>
      <c r="V25" s="406"/>
      <c r="W25" s="407"/>
      <c r="X25" s="408">
        <v>4.5999999999999996</v>
      </c>
      <c r="Y25" s="406"/>
      <c r="Z25" s="406"/>
      <c r="AA25" s="409"/>
      <c r="AB25" s="410">
        <v>4.7</v>
      </c>
      <c r="AC25" s="406"/>
      <c r="AD25" s="406"/>
      <c r="AE25" s="407"/>
      <c r="AF25" s="408">
        <v>4.8</v>
      </c>
      <c r="AG25" s="406"/>
      <c r="AH25" s="406"/>
      <c r="AI25" s="409"/>
      <c r="AL25" s="791"/>
      <c r="AM25" s="792"/>
      <c r="AN25" s="793"/>
      <c r="AO25" s="791"/>
      <c r="AP25" s="792"/>
      <c r="AQ25" s="794"/>
      <c r="AR25" s="795"/>
      <c r="AS25" s="792"/>
      <c r="AT25" s="793"/>
      <c r="AU25" s="791"/>
      <c r="AV25" s="792"/>
      <c r="AW25" s="794"/>
      <c r="AX25" s="795"/>
      <c r="AY25" s="792"/>
      <c r="AZ25" s="793"/>
      <c r="BA25" s="791"/>
      <c r="BB25" s="792"/>
      <c r="BC25" s="793"/>
      <c r="BD25" s="1388"/>
      <c r="BE25" s="1385"/>
    </row>
    <row r="26" spans="1:57" s="8" customFormat="1" ht="14.4" thickBot="1" x14ac:dyDescent="0.3">
      <c r="A26" s="1201"/>
      <c r="B26" s="1260"/>
      <c r="C26" s="411">
        <v>4</v>
      </c>
      <c r="D26" s="418">
        <v>3.96</v>
      </c>
      <c r="E26" s="419">
        <v>4</v>
      </c>
      <c r="F26" s="419">
        <v>4</v>
      </c>
      <c r="G26" s="417">
        <v>4</v>
      </c>
      <c r="H26" s="426">
        <v>4</v>
      </c>
      <c r="I26" s="424"/>
      <c r="J26" s="1263"/>
      <c r="K26" s="1263"/>
      <c r="L26" s="61">
        <v>4.9000000000000004</v>
      </c>
      <c r="M26" s="61"/>
      <c r="N26" s="61"/>
      <c r="O26" s="246"/>
      <c r="P26" s="271">
        <v>5</v>
      </c>
      <c r="Q26" s="61"/>
      <c r="R26" s="61"/>
      <c r="S26" s="272"/>
      <c r="T26" s="256">
        <v>5.0999999999999996</v>
      </c>
      <c r="U26" s="61"/>
      <c r="V26" s="61"/>
      <c r="W26" s="246"/>
      <c r="X26" s="271">
        <v>5.2</v>
      </c>
      <c r="Y26" s="61"/>
      <c r="Z26" s="61"/>
      <c r="AA26" s="272"/>
      <c r="AB26" s="256">
        <v>5.3</v>
      </c>
      <c r="AC26" s="61"/>
      <c r="AD26" s="61"/>
      <c r="AE26" s="246"/>
      <c r="AF26" s="271">
        <v>5.4</v>
      </c>
      <c r="AG26" s="61"/>
      <c r="AH26" s="61"/>
      <c r="AI26" s="272"/>
      <c r="AL26" s="796"/>
      <c r="AM26" s="797"/>
      <c r="AN26" s="798"/>
      <c r="AO26" s="796"/>
      <c r="AP26" s="797"/>
      <c r="AQ26" s="799"/>
      <c r="AR26" s="800"/>
      <c r="AS26" s="797"/>
      <c r="AT26" s="798"/>
      <c r="AU26" s="796"/>
      <c r="AV26" s="797"/>
      <c r="AW26" s="799"/>
      <c r="AX26" s="800"/>
      <c r="AY26" s="797"/>
      <c r="AZ26" s="798"/>
      <c r="BA26" s="796"/>
      <c r="BB26" s="797"/>
      <c r="BC26" s="798"/>
      <c r="BD26" s="1403"/>
      <c r="BE26" s="1402"/>
    </row>
    <row r="27" spans="1:57" s="1" customFormat="1" ht="13.8" x14ac:dyDescent="0.25">
      <c r="A27" s="1198" t="s">
        <v>27</v>
      </c>
      <c r="B27" s="14" t="s">
        <v>16</v>
      </c>
      <c r="C27" s="14"/>
      <c r="D27" s="72">
        <v>0.17499999999999999</v>
      </c>
      <c r="E27" s="72">
        <v>0.17899999999999999</v>
      </c>
      <c r="F27" s="72">
        <v>0.183</v>
      </c>
      <c r="G27" s="72">
        <v>0.187</v>
      </c>
      <c r="H27" s="73">
        <v>0.191</v>
      </c>
      <c r="I27" s="116"/>
      <c r="J27" s="116"/>
      <c r="K27" s="116"/>
      <c r="L27" s="306">
        <v>2.0099999999999998</v>
      </c>
      <c r="M27" s="306"/>
      <c r="N27" s="306"/>
      <c r="O27" s="307"/>
      <c r="P27" s="306">
        <v>2.11</v>
      </c>
      <c r="Q27" s="306"/>
      <c r="R27" s="306"/>
      <c r="S27" s="308"/>
      <c r="T27" s="306">
        <v>2.2200000000000002</v>
      </c>
      <c r="U27" s="306"/>
      <c r="V27" s="306"/>
      <c r="W27" s="307"/>
      <c r="X27" s="309">
        <v>2.33</v>
      </c>
      <c r="Y27" s="306"/>
      <c r="Z27" s="306"/>
      <c r="AA27" s="308"/>
      <c r="AB27" s="310">
        <v>2.4500000000000002</v>
      </c>
      <c r="AC27" s="306"/>
      <c r="AD27" s="306"/>
      <c r="AE27" s="307"/>
      <c r="AF27" s="309">
        <v>2.57</v>
      </c>
      <c r="AG27" s="72"/>
      <c r="AH27" s="72"/>
      <c r="AI27" s="73"/>
      <c r="AL27" s="867">
        <v>2.57</v>
      </c>
      <c r="AM27" s="716"/>
      <c r="AN27" s="717"/>
      <c r="AO27" s="867">
        <v>2.57</v>
      </c>
      <c r="AP27" s="716"/>
      <c r="AQ27" s="717"/>
      <c r="AR27" s="867">
        <v>2.57</v>
      </c>
      <c r="AS27" s="716"/>
      <c r="AT27" s="717"/>
      <c r="AU27" s="867">
        <v>2.57</v>
      </c>
      <c r="AV27" s="716"/>
      <c r="AW27" s="717"/>
      <c r="AX27" s="867">
        <v>2.57</v>
      </c>
      <c r="AY27" s="716"/>
      <c r="AZ27" s="717"/>
      <c r="BA27" s="867">
        <v>2.57</v>
      </c>
      <c r="BB27" s="716"/>
      <c r="BC27" s="717"/>
      <c r="BD27" s="1408"/>
      <c r="BE27" s="1383"/>
    </row>
    <row r="28" spans="1:57" ht="13.8" thickBot="1" x14ac:dyDescent="0.3">
      <c r="A28" s="1201"/>
      <c r="B28" s="51" t="s">
        <v>41</v>
      </c>
      <c r="C28" s="51"/>
      <c r="D28" s="74">
        <v>0.22</v>
      </c>
      <c r="E28" s="74">
        <v>0.22400000000000003</v>
      </c>
      <c r="F28" s="74">
        <v>0.22799999999999998</v>
      </c>
      <c r="G28" s="74">
        <v>0.23300000000000001</v>
      </c>
      <c r="H28" s="75">
        <v>0.23799999999999999</v>
      </c>
      <c r="I28" s="121"/>
      <c r="J28" s="121"/>
      <c r="K28" s="121"/>
      <c r="L28" s="291">
        <v>2.5</v>
      </c>
      <c r="M28" s="291"/>
      <c r="N28" s="291"/>
      <c r="O28" s="311"/>
      <c r="P28" s="291">
        <v>2.63</v>
      </c>
      <c r="Q28" s="291"/>
      <c r="R28" s="291"/>
      <c r="S28" s="292"/>
      <c r="T28" s="291">
        <v>2.76</v>
      </c>
      <c r="U28" s="291"/>
      <c r="V28" s="291"/>
      <c r="W28" s="311"/>
      <c r="X28" s="312">
        <v>2.9</v>
      </c>
      <c r="Y28" s="291"/>
      <c r="Z28" s="291"/>
      <c r="AA28" s="292"/>
      <c r="AB28" s="313">
        <v>3.05</v>
      </c>
      <c r="AC28" s="291"/>
      <c r="AD28" s="291"/>
      <c r="AE28" s="311"/>
      <c r="AF28" s="312">
        <v>3.2</v>
      </c>
      <c r="AG28" s="74"/>
      <c r="AH28" s="74"/>
      <c r="AI28" s="75"/>
      <c r="AL28" s="868"/>
      <c r="AM28" s="868">
        <v>3.2</v>
      </c>
      <c r="AN28" s="868">
        <v>3.2</v>
      </c>
      <c r="AO28" s="868"/>
      <c r="AP28" s="868">
        <v>3.2</v>
      </c>
      <c r="AQ28" s="868">
        <v>3.2</v>
      </c>
      <c r="AR28" s="868"/>
      <c r="AS28" s="868">
        <v>3.2</v>
      </c>
      <c r="AT28" s="868">
        <v>3.2</v>
      </c>
      <c r="AU28" s="868"/>
      <c r="AV28" s="868" t="s">
        <v>249</v>
      </c>
      <c r="AW28" s="868" t="s">
        <v>249</v>
      </c>
      <c r="AX28" s="868"/>
      <c r="AY28" s="868" t="s">
        <v>250</v>
      </c>
      <c r="AZ28" s="868" t="s">
        <v>250</v>
      </c>
      <c r="BA28" s="868"/>
      <c r="BB28" s="868" t="s">
        <v>251</v>
      </c>
      <c r="BC28" s="1379" t="s">
        <v>251</v>
      </c>
      <c r="BD28" s="1404"/>
      <c r="BE28" s="1400"/>
    </row>
    <row r="29" spans="1:57" x14ac:dyDescent="0.25">
      <c r="A29" s="1198" t="s">
        <v>26</v>
      </c>
      <c r="B29" s="57" t="s">
        <v>31</v>
      </c>
      <c r="C29" s="57"/>
      <c r="D29" s="76">
        <v>0.59199999999999997</v>
      </c>
      <c r="E29" s="76">
        <v>0.68099999999999994</v>
      </c>
      <c r="F29" s="76">
        <v>0.68100000000000005</v>
      </c>
      <c r="G29" s="76">
        <v>0.78300000000000003</v>
      </c>
      <c r="H29" s="77">
        <v>0.9</v>
      </c>
      <c r="I29" s="116"/>
      <c r="J29" s="116"/>
      <c r="K29" s="116"/>
      <c r="L29" s="76">
        <v>0.97199999999999998</v>
      </c>
      <c r="M29" s="76"/>
      <c r="N29" s="76"/>
      <c r="O29" s="247"/>
      <c r="P29" s="275">
        <v>1.05</v>
      </c>
      <c r="Q29" s="76"/>
      <c r="R29" s="76"/>
      <c r="S29" s="77"/>
      <c r="T29" s="257">
        <v>1.1339999999999999</v>
      </c>
      <c r="U29" s="76"/>
      <c r="V29" s="76"/>
      <c r="W29" s="247"/>
      <c r="X29" s="275">
        <v>1.2250000000000001</v>
      </c>
      <c r="Y29" s="76"/>
      <c r="Z29" s="76"/>
      <c r="AA29" s="77"/>
      <c r="AB29" s="257">
        <v>1.323</v>
      </c>
      <c r="AC29" s="76"/>
      <c r="AD29" s="76"/>
      <c r="AE29" s="247"/>
      <c r="AF29" s="275">
        <v>1.429</v>
      </c>
      <c r="AG29" s="76"/>
      <c r="AH29" s="76"/>
      <c r="AI29" s="77"/>
      <c r="AL29" s="888">
        <v>1.286</v>
      </c>
      <c r="AM29" s="159"/>
      <c r="AN29" s="718"/>
      <c r="AO29" s="888">
        <v>1.286</v>
      </c>
      <c r="AP29" s="159"/>
      <c r="AQ29" s="718"/>
      <c r="AR29" s="888">
        <v>1.286</v>
      </c>
      <c r="AS29" s="159"/>
      <c r="AT29" s="718"/>
      <c r="AU29" s="888">
        <v>1.286</v>
      </c>
      <c r="AV29" s="159"/>
      <c r="AW29" s="718"/>
      <c r="AX29" s="888">
        <v>1.286</v>
      </c>
      <c r="AY29" s="159"/>
      <c r="AZ29" s="718"/>
      <c r="BA29" s="888">
        <v>3.819</v>
      </c>
      <c r="BB29" s="159"/>
      <c r="BC29" s="718"/>
      <c r="BD29" s="1391"/>
      <c r="BE29" s="1387">
        <f>+(BA29-AX29)/AX29</f>
        <v>1.9696734059097978</v>
      </c>
    </row>
    <row r="30" spans="1:57" x14ac:dyDescent="0.25">
      <c r="A30" s="1200"/>
      <c r="B30" s="53" t="s">
        <v>38</v>
      </c>
      <c r="C30" s="53"/>
      <c r="D30" s="78">
        <v>1.5660000000000001</v>
      </c>
      <c r="E30" s="78">
        <v>1.589</v>
      </c>
      <c r="F30" s="78">
        <v>1.589</v>
      </c>
      <c r="G30" s="78">
        <v>1.613</v>
      </c>
      <c r="H30" s="79">
        <v>1.6379999999999999</v>
      </c>
      <c r="I30" s="117"/>
      <c r="J30" s="117"/>
      <c r="K30" s="117"/>
      <c r="L30" s="78"/>
      <c r="M30" s="78">
        <v>2.0270000000000001</v>
      </c>
      <c r="N30" s="78"/>
      <c r="O30" s="248"/>
      <c r="P30" s="276"/>
      <c r="Q30" s="78">
        <v>2.2290000000000001</v>
      </c>
      <c r="R30" s="78"/>
      <c r="S30" s="79"/>
      <c r="T30" s="258"/>
      <c r="U30" s="78">
        <v>2.4529999999999998</v>
      </c>
      <c r="V30" s="78"/>
      <c r="W30" s="248"/>
      <c r="X30" s="276"/>
      <c r="Y30" s="78">
        <v>2.698</v>
      </c>
      <c r="Z30" s="78"/>
      <c r="AA30" s="79"/>
      <c r="AB30" s="258"/>
      <c r="AC30" s="258">
        <v>2.968</v>
      </c>
      <c r="AD30" s="78"/>
      <c r="AE30" s="248"/>
      <c r="AF30" s="276"/>
      <c r="AG30" s="78">
        <v>3.2639999999999998</v>
      </c>
      <c r="AH30" s="78"/>
      <c r="AI30" s="79"/>
      <c r="AL30" s="207"/>
      <c r="AM30" s="889">
        <v>2.9380000000000002</v>
      </c>
      <c r="AN30" s="719"/>
      <c r="AO30" s="207"/>
      <c r="AP30" s="889">
        <v>2.9380000000000002</v>
      </c>
      <c r="AQ30" s="719"/>
      <c r="AR30" s="207"/>
      <c r="AS30" s="889">
        <v>2.9380000000000002</v>
      </c>
      <c r="AT30" s="719"/>
      <c r="AU30" s="207"/>
      <c r="AV30" s="889">
        <v>2.9380000000000002</v>
      </c>
      <c r="AW30" s="719"/>
      <c r="AX30" s="207"/>
      <c r="AY30" s="889">
        <v>2.9380000000000002</v>
      </c>
      <c r="AZ30" s="719"/>
      <c r="BA30" s="207"/>
      <c r="BB30" s="889">
        <v>3.819</v>
      </c>
      <c r="BC30" s="719"/>
      <c r="BD30" s="1391"/>
      <c r="BE30" s="1392">
        <f>+(BB30-AY30)/AY30</f>
        <v>0.299863852961198</v>
      </c>
    </row>
    <row r="31" spans="1:57" x14ac:dyDescent="0.25">
      <c r="A31" s="1200"/>
      <c r="B31" s="53" t="s">
        <v>39</v>
      </c>
      <c r="C31" s="53"/>
      <c r="D31" s="78">
        <v>2.819</v>
      </c>
      <c r="E31" s="78">
        <v>1.86</v>
      </c>
      <c r="F31" s="78">
        <v>2.86</v>
      </c>
      <c r="G31" s="78">
        <v>2.903</v>
      </c>
      <c r="H31" s="79">
        <v>2.948</v>
      </c>
      <c r="I31" s="117"/>
      <c r="J31" s="117"/>
      <c r="K31" s="117"/>
      <c r="L31" s="78"/>
      <c r="M31" s="78">
        <v>3.2429999999999999</v>
      </c>
      <c r="N31" s="78"/>
      <c r="O31" s="248"/>
      <c r="P31" s="276"/>
      <c r="Q31" s="78">
        <v>3.5670000000000002</v>
      </c>
      <c r="R31" s="78"/>
      <c r="S31" s="79"/>
      <c r="T31" s="258"/>
      <c r="U31" s="78">
        <v>3.9239999999999999</v>
      </c>
      <c r="V31" s="78"/>
      <c r="W31" s="248"/>
      <c r="X31" s="276"/>
      <c r="Y31" s="78">
        <v>4.3159999999999998</v>
      </c>
      <c r="Z31" s="78"/>
      <c r="AA31" s="79"/>
      <c r="AB31" s="258"/>
      <c r="AC31" s="258">
        <v>4.7480000000000002</v>
      </c>
      <c r="AD31" s="78"/>
      <c r="AE31" s="248"/>
      <c r="AF31" s="276"/>
      <c r="AG31" s="78">
        <v>5.2229999999999999</v>
      </c>
      <c r="AH31" s="78"/>
      <c r="AI31" s="79"/>
      <c r="AL31" s="207"/>
      <c r="AM31" s="889">
        <v>4.4710000000000001</v>
      </c>
      <c r="AN31" s="719"/>
      <c r="AO31" s="207"/>
      <c r="AP31" s="889">
        <v>4.4710000000000001</v>
      </c>
      <c r="AQ31" s="719"/>
      <c r="AR31" s="207"/>
      <c r="AS31" s="889">
        <v>4.4710000000000001</v>
      </c>
      <c r="AT31" s="719"/>
      <c r="AU31" s="207"/>
      <c r="AV31" s="889">
        <v>4.7009999999999996</v>
      </c>
      <c r="AW31" s="719"/>
      <c r="AX31" s="207"/>
      <c r="AY31" s="889">
        <v>4.7009999999999996</v>
      </c>
      <c r="AZ31" s="719"/>
      <c r="BA31" s="207"/>
      <c r="BB31" s="889">
        <v>4.7009999999999996</v>
      </c>
      <c r="BC31" s="719"/>
      <c r="BD31" s="1391"/>
      <c r="BE31" s="1390"/>
    </row>
    <row r="32" spans="1:57" s="1" customFormat="1" ht="13.8" thickBot="1" x14ac:dyDescent="0.3">
      <c r="A32" s="1201"/>
      <c r="B32" s="51" t="s">
        <v>40</v>
      </c>
      <c r="C32" s="51"/>
      <c r="D32" s="80">
        <v>3.76</v>
      </c>
      <c r="E32" s="80">
        <v>3.8159999999999998</v>
      </c>
      <c r="F32" s="80">
        <v>3.8159999999999998</v>
      </c>
      <c r="G32" s="80">
        <v>3.8740000000000001</v>
      </c>
      <c r="H32" s="81">
        <v>3.992</v>
      </c>
      <c r="I32" s="121"/>
      <c r="J32" s="121"/>
      <c r="K32" s="121"/>
      <c r="L32" s="80"/>
      <c r="M32" s="80"/>
      <c r="N32" s="80"/>
      <c r="O32" s="80">
        <v>4.5220000000000002</v>
      </c>
      <c r="P32" s="277"/>
      <c r="Q32" s="80"/>
      <c r="R32" s="80"/>
      <c r="S32" s="277">
        <v>5.2</v>
      </c>
      <c r="T32" s="277"/>
      <c r="U32" s="80"/>
      <c r="V32" s="80"/>
      <c r="W32" s="259">
        <v>5.98</v>
      </c>
      <c r="X32" s="277"/>
      <c r="Y32" s="80"/>
      <c r="Z32" s="80"/>
      <c r="AA32" s="277">
        <v>6.8769999999999998</v>
      </c>
      <c r="AB32" s="277"/>
      <c r="AC32" s="80"/>
      <c r="AD32" s="80"/>
      <c r="AE32" s="259">
        <v>7.9089999999999998</v>
      </c>
      <c r="AF32" s="277"/>
      <c r="AG32" s="80"/>
      <c r="AH32" s="80"/>
      <c r="AI32" s="259">
        <v>9.0950000000000006</v>
      </c>
      <c r="AL32" s="208"/>
      <c r="AM32" s="163"/>
      <c r="AN32" s="890">
        <v>8.1859999999999999</v>
      </c>
      <c r="AO32" s="208"/>
      <c r="AP32" s="163"/>
      <c r="AQ32" s="890">
        <v>8.1859999999999999</v>
      </c>
      <c r="AR32" s="208"/>
      <c r="AS32" s="163"/>
      <c r="AT32" s="890">
        <v>8.1859999999999999</v>
      </c>
      <c r="AU32" s="208"/>
      <c r="AV32" s="163"/>
      <c r="AW32" s="890">
        <v>8.1859999999999999</v>
      </c>
      <c r="AX32" s="208"/>
      <c r="AY32" s="163"/>
      <c r="AZ32" s="890">
        <v>8.1859999999999999</v>
      </c>
      <c r="BA32" s="208"/>
      <c r="BB32" s="163"/>
      <c r="BC32" s="893">
        <v>8.1859999999999999</v>
      </c>
      <c r="BD32" s="1405"/>
      <c r="BE32" s="1406"/>
    </row>
    <row r="33" spans="1:57" s="1" customFormat="1" ht="52.8" x14ac:dyDescent="0.25">
      <c r="A33" s="1198" t="s">
        <v>28</v>
      </c>
      <c r="B33" s="14" t="s">
        <v>31</v>
      </c>
      <c r="C33" s="14"/>
      <c r="D33" s="82">
        <v>0.42899999999999999</v>
      </c>
      <c r="E33" s="82">
        <v>0.42899999999999999</v>
      </c>
      <c r="F33" s="82">
        <v>0.438</v>
      </c>
      <c r="G33" s="82">
        <v>0.438</v>
      </c>
      <c r="H33" s="83">
        <v>0.438</v>
      </c>
      <c r="I33" s="116"/>
      <c r="J33" s="116"/>
      <c r="K33" s="116"/>
      <c r="L33" s="82">
        <f>0.438+0.0528</f>
        <v>0.49080000000000001</v>
      </c>
      <c r="M33" s="82"/>
      <c r="N33" s="82"/>
      <c r="O33" s="250"/>
      <c r="P33" s="278">
        <f>+L33+0.0528</f>
        <v>0.54359999999999997</v>
      </c>
      <c r="Q33" s="82"/>
      <c r="R33" s="82"/>
      <c r="S33" s="83"/>
      <c r="T33" s="260">
        <f>+P33+0.0528</f>
        <v>0.59639999999999993</v>
      </c>
      <c r="U33" s="82"/>
      <c r="V33" s="82"/>
      <c r="W33" s="250"/>
      <c r="X33" s="278">
        <f>+T33+0.0528</f>
        <v>0.64919999999999989</v>
      </c>
      <c r="Y33" s="82"/>
      <c r="Z33" s="82"/>
      <c r="AA33" s="83"/>
      <c r="AB33" s="260">
        <f>+X33+0.0528</f>
        <v>0.70199999999999985</v>
      </c>
      <c r="AC33" s="82"/>
      <c r="AD33" s="82"/>
      <c r="AE33" s="250"/>
      <c r="AF33" s="278">
        <f>+AB33</f>
        <v>0.70199999999999985</v>
      </c>
      <c r="AG33" s="82"/>
      <c r="AH33" s="82"/>
      <c r="AI33" s="250"/>
      <c r="AJ33" s="973" t="s">
        <v>229</v>
      </c>
      <c r="AK33" s="1034"/>
      <c r="AL33" s="960">
        <v>0.70199999999999996</v>
      </c>
      <c r="AM33" s="166"/>
      <c r="AN33" s="720"/>
      <c r="AO33" s="960">
        <v>0.70199999999999996</v>
      </c>
      <c r="AP33" s="166"/>
      <c r="AQ33" s="720"/>
      <c r="AR33" s="960">
        <v>0.70199999999999996</v>
      </c>
      <c r="AS33" s="166"/>
      <c r="AT33" s="720"/>
      <c r="AU33" s="960">
        <v>0.70199999999999996</v>
      </c>
      <c r="AV33" s="166"/>
      <c r="AW33" s="720"/>
      <c r="AX33" s="960">
        <v>0.70199999999999996</v>
      </c>
      <c r="AY33" s="166"/>
      <c r="AZ33" s="720"/>
      <c r="BA33" s="1091">
        <v>0.70199999999999996</v>
      </c>
      <c r="BB33" s="166"/>
      <c r="BC33" s="720"/>
      <c r="BD33" s="1393">
        <f>+($BG$3-BA33)/BA33</f>
        <v>1.8062678062678064</v>
      </c>
      <c r="BE33" s="1383"/>
    </row>
    <row r="34" spans="1:57" s="7" customFormat="1" x14ac:dyDescent="0.25">
      <c r="A34" s="1200"/>
      <c r="B34" s="53" t="s">
        <v>32</v>
      </c>
      <c r="C34" s="53"/>
      <c r="D34" s="84">
        <v>0.215</v>
      </c>
      <c r="E34" s="84">
        <v>0.215</v>
      </c>
      <c r="F34" s="84">
        <v>0.219</v>
      </c>
      <c r="G34" s="84">
        <v>0.219</v>
      </c>
      <c r="H34" s="85">
        <v>0.219</v>
      </c>
      <c r="I34" s="122"/>
      <c r="J34" s="122"/>
      <c r="K34" s="122"/>
      <c r="L34" s="84">
        <f>0.219+0.0426</f>
        <v>0.2616</v>
      </c>
      <c r="M34" s="84"/>
      <c r="N34" s="84"/>
      <c r="O34" s="251"/>
      <c r="P34" s="279">
        <f>+L34+0.0426</f>
        <v>0.30420000000000003</v>
      </c>
      <c r="Q34" s="84"/>
      <c r="R34" s="84"/>
      <c r="S34" s="85"/>
      <c r="T34" s="261">
        <f>+P34+0.0426</f>
        <v>0.3468</v>
      </c>
      <c r="U34" s="84"/>
      <c r="V34" s="84"/>
      <c r="W34" s="251"/>
      <c r="X34" s="279">
        <f>+T34+0.0426</f>
        <v>0.38939999999999997</v>
      </c>
      <c r="Y34" s="84"/>
      <c r="Z34" s="84"/>
      <c r="AA34" s="85"/>
      <c r="AB34" s="261">
        <f>+X34+0.0426</f>
        <v>0.43199999999999994</v>
      </c>
      <c r="AC34" s="84"/>
      <c r="AD34" s="84"/>
      <c r="AE34" s="251"/>
      <c r="AF34" s="279">
        <f>+AB34</f>
        <v>0.43199999999999994</v>
      </c>
      <c r="AG34" s="84"/>
      <c r="AH34" s="84"/>
      <c r="AI34" s="251"/>
      <c r="AJ34" s="974" t="s">
        <v>231</v>
      </c>
      <c r="AK34" s="1035"/>
      <c r="AL34" s="961">
        <v>0.432</v>
      </c>
      <c r="AM34" s="168"/>
      <c r="AN34" s="721"/>
      <c r="AO34" s="961">
        <v>0.432</v>
      </c>
      <c r="AP34" s="168"/>
      <c r="AQ34" s="721"/>
      <c r="AR34" s="961">
        <v>0.432</v>
      </c>
      <c r="AS34" s="168"/>
      <c r="AT34" s="721"/>
      <c r="AU34" s="961">
        <v>0.432</v>
      </c>
      <c r="AV34" s="168"/>
      <c r="AW34" s="721"/>
      <c r="AX34" s="961">
        <v>0.432</v>
      </c>
      <c r="AY34" s="168"/>
      <c r="AZ34" s="721"/>
      <c r="BA34" s="1092">
        <v>0.432</v>
      </c>
      <c r="BB34" s="168"/>
      <c r="BC34" s="721"/>
      <c r="BD34" s="1393">
        <f>+($BG$3-BA34)/BA34</f>
        <v>3.5601851851851851</v>
      </c>
      <c r="BE34" s="1394"/>
    </row>
    <row r="35" spans="1:57" s="7" customFormat="1" ht="66" x14ac:dyDescent="0.25">
      <c r="A35" s="1200"/>
      <c r="B35" s="53" t="s">
        <v>33</v>
      </c>
      <c r="C35" s="53"/>
      <c r="D35" s="84">
        <v>0.74199999999999999</v>
      </c>
      <c r="E35" s="84">
        <v>0.74199999999999999</v>
      </c>
      <c r="F35" s="84">
        <v>0.75700000000000001</v>
      </c>
      <c r="G35" s="84">
        <v>0.75700000000000001</v>
      </c>
      <c r="H35" s="85">
        <v>0.75700000000000001</v>
      </c>
      <c r="I35" s="122"/>
      <c r="J35" s="122"/>
      <c r="K35" s="122"/>
      <c r="L35" s="84"/>
      <c r="M35" s="84">
        <f>0.757+0.0646</f>
        <v>0.8216</v>
      </c>
      <c r="N35" s="84"/>
      <c r="O35" s="251"/>
      <c r="P35" s="279"/>
      <c r="Q35" s="279">
        <f>+M35+0.0646</f>
        <v>0.88619999999999999</v>
      </c>
      <c r="R35" s="84"/>
      <c r="S35" s="85"/>
      <c r="T35" s="261"/>
      <c r="U35" s="261">
        <f>+Q35+0.0646</f>
        <v>0.95079999999999998</v>
      </c>
      <c r="V35" s="84"/>
      <c r="W35" s="251"/>
      <c r="X35" s="279"/>
      <c r="Y35" s="279">
        <f>+U35+0.0646</f>
        <v>1.0154000000000001</v>
      </c>
      <c r="Z35" s="84"/>
      <c r="AA35" s="85"/>
      <c r="AB35" s="261"/>
      <c r="AC35" s="261">
        <f>+Y35+0.0646</f>
        <v>1.08</v>
      </c>
      <c r="AD35" s="84"/>
      <c r="AE35" s="251"/>
      <c r="AF35" s="279">
        <f>+AB35</f>
        <v>0</v>
      </c>
      <c r="AG35" s="279">
        <f>+AC35</f>
        <v>1.08</v>
      </c>
      <c r="AH35" s="84"/>
      <c r="AI35" s="251"/>
      <c r="AJ35" s="974" t="s">
        <v>230</v>
      </c>
      <c r="AK35" s="1035"/>
      <c r="AL35" s="210"/>
      <c r="AM35" s="959">
        <v>1.08</v>
      </c>
      <c r="AN35" s="721"/>
      <c r="AO35" s="210"/>
      <c r="AP35" s="959">
        <v>1.08</v>
      </c>
      <c r="AQ35" s="721"/>
      <c r="AR35" s="210"/>
      <c r="AS35" s="959">
        <v>1.08</v>
      </c>
      <c r="AT35" s="721"/>
      <c r="AU35" s="210"/>
      <c r="AV35" s="959">
        <v>1.08</v>
      </c>
      <c r="AW35" s="721"/>
      <c r="AX35" s="210"/>
      <c r="AY35" s="959">
        <v>1.08</v>
      </c>
      <c r="AZ35" s="721"/>
      <c r="BA35" s="210"/>
      <c r="BB35" s="1093">
        <v>1.08</v>
      </c>
      <c r="BC35" s="1163"/>
      <c r="BD35" s="1393">
        <f>+(BG3-BB35)/BB35</f>
        <v>0.82407407407407396</v>
      </c>
      <c r="BE35" s="1394"/>
    </row>
    <row r="36" spans="1:57" ht="13.8" thickBot="1" x14ac:dyDescent="0.3">
      <c r="A36" s="1201"/>
      <c r="B36" s="51" t="s">
        <v>15</v>
      </c>
      <c r="C36" s="51"/>
      <c r="D36" s="71">
        <v>4</v>
      </c>
      <c r="E36" s="71">
        <v>4</v>
      </c>
      <c r="F36" s="71">
        <v>4</v>
      </c>
      <c r="G36" s="71">
        <v>4</v>
      </c>
      <c r="H36" s="71">
        <v>4</v>
      </c>
      <c r="I36" s="118"/>
      <c r="J36" s="118"/>
      <c r="K36" s="118"/>
      <c r="L36" s="71"/>
      <c r="M36" s="71"/>
      <c r="N36" s="71"/>
      <c r="O36" s="71">
        <v>10.8</v>
      </c>
      <c r="P36" s="280">
        <f>+L36</f>
        <v>0</v>
      </c>
      <c r="Q36" s="71"/>
      <c r="R36" s="71"/>
      <c r="S36" s="71">
        <f>+O36</f>
        <v>10.8</v>
      </c>
      <c r="T36" s="280">
        <f>+P36</f>
        <v>0</v>
      </c>
      <c r="U36" s="71"/>
      <c r="V36" s="71"/>
      <c r="W36" s="71">
        <f>+S36</f>
        <v>10.8</v>
      </c>
      <c r="X36" s="280">
        <f>+T36</f>
        <v>0</v>
      </c>
      <c r="Y36" s="71"/>
      <c r="Z36" s="71"/>
      <c r="AA36" s="281">
        <f>+W36</f>
        <v>10.8</v>
      </c>
      <c r="AB36" s="262">
        <f>+X36</f>
        <v>0</v>
      </c>
      <c r="AC36" s="71"/>
      <c r="AD36" s="71"/>
      <c r="AE36" s="262">
        <f>+AA36</f>
        <v>10.8</v>
      </c>
      <c r="AF36" s="280">
        <f>+AB36</f>
        <v>0</v>
      </c>
      <c r="AG36" s="71"/>
      <c r="AH36" s="71"/>
      <c r="AI36" s="972">
        <f>+AE36</f>
        <v>10.8</v>
      </c>
      <c r="AJ36" s="975"/>
      <c r="AK36" s="1036"/>
      <c r="AL36" s="211"/>
      <c r="AM36" s="171"/>
      <c r="AN36" s="971">
        <v>10.8</v>
      </c>
      <c r="AO36" s="211"/>
      <c r="AP36" s="171"/>
      <c r="AQ36" s="971">
        <v>10.8</v>
      </c>
      <c r="AR36" s="211"/>
      <c r="AS36" s="171"/>
      <c r="AT36" s="971">
        <v>10.8</v>
      </c>
      <c r="AU36" s="211"/>
      <c r="AV36" s="171"/>
      <c r="AW36" s="971">
        <v>10.8</v>
      </c>
      <c r="AX36" s="211"/>
      <c r="AY36" s="171"/>
      <c r="AZ36" s="971">
        <v>10.8</v>
      </c>
      <c r="BA36" s="211"/>
      <c r="BB36" s="171"/>
      <c r="BC36" s="1380">
        <v>10.8</v>
      </c>
      <c r="BD36" s="1407"/>
      <c r="BE36" s="1400"/>
    </row>
    <row r="37" spans="1:57" s="1" customFormat="1" ht="13.8" x14ac:dyDescent="0.25">
      <c r="A37" s="1198" t="s">
        <v>29</v>
      </c>
      <c r="B37" s="14" t="s">
        <v>42</v>
      </c>
      <c r="C37" s="14"/>
      <c r="D37" s="86">
        <v>0.43200000000000005</v>
      </c>
      <c r="E37" s="86">
        <v>0.43200000000000005</v>
      </c>
      <c r="F37" s="86">
        <v>0.43200000000000005</v>
      </c>
      <c r="G37" s="86">
        <v>0.43200000000000005</v>
      </c>
      <c r="H37" s="87">
        <v>0.43200000000000005</v>
      </c>
      <c r="I37" s="116"/>
      <c r="J37" s="330"/>
      <c r="K37" s="330" t="s">
        <v>154</v>
      </c>
      <c r="L37" s="333">
        <v>0.46800000000000003</v>
      </c>
      <c r="M37" s="333"/>
      <c r="N37" s="333"/>
      <c r="O37" s="334"/>
      <c r="P37" s="335">
        <v>0.48399999999999999</v>
      </c>
      <c r="Q37" s="333"/>
      <c r="R37" s="333"/>
      <c r="S37" s="336"/>
      <c r="T37" s="337">
        <v>0.5</v>
      </c>
      <c r="U37" s="333"/>
      <c r="V37" s="333"/>
      <c r="W37" s="334"/>
      <c r="X37" s="335">
        <v>0.51600000000000001</v>
      </c>
      <c r="Y37" s="333"/>
      <c r="Z37" s="333"/>
      <c r="AA37" s="336"/>
      <c r="AB37" s="337">
        <v>0.5</v>
      </c>
      <c r="AC37" s="333"/>
      <c r="AD37" s="333"/>
      <c r="AE37" s="334"/>
      <c r="AF37" s="335">
        <v>0.5</v>
      </c>
      <c r="AG37" s="333"/>
      <c r="AH37" s="333"/>
      <c r="AI37" s="336"/>
      <c r="AJ37" s="1264" t="s">
        <v>255</v>
      </c>
      <c r="AK37" s="1037"/>
      <c r="AL37" s="962">
        <v>0.5</v>
      </c>
      <c r="AM37" s="963"/>
      <c r="AN37" s="964"/>
      <c r="AO37" s="962">
        <v>0.5</v>
      </c>
      <c r="AP37" s="963"/>
      <c r="AQ37" s="964"/>
      <c r="AR37" s="962">
        <v>0.5</v>
      </c>
      <c r="AS37" s="963"/>
      <c r="AT37" s="964"/>
      <c r="AU37" s="962">
        <v>0.5</v>
      </c>
      <c r="AV37" s="963"/>
      <c r="AW37" s="964"/>
      <c r="AX37" s="962">
        <v>0.5</v>
      </c>
      <c r="AY37" s="963"/>
      <c r="AZ37" s="964"/>
      <c r="BA37" s="1094">
        <v>0.76900000000000002</v>
      </c>
      <c r="BB37" s="1095"/>
      <c r="BC37" s="964"/>
      <c r="BD37" s="1395">
        <f>+($BG$3-BA37)/BA37</f>
        <v>1.5617685305591678</v>
      </c>
      <c r="BE37" s="1392">
        <f>+(BA37-AX37)/AX37</f>
        <v>0.53800000000000003</v>
      </c>
    </row>
    <row r="38" spans="1:57" s="1" customFormat="1" ht="13.8" x14ac:dyDescent="0.25">
      <c r="A38" s="1200"/>
      <c r="B38" s="18" t="s">
        <v>43</v>
      </c>
      <c r="C38" s="18"/>
      <c r="D38" s="88">
        <v>0.81</v>
      </c>
      <c r="E38" s="88">
        <v>0.81</v>
      </c>
      <c r="F38" s="88">
        <v>0.81</v>
      </c>
      <c r="G38" s="88">
        <v>0.81</v>
      </c>
      <c r="H38" s="89">
        <v>0.81</v>
      </c>
      <c r="I38" s="117"/>
      <c r="J38" s="331"/>
      <c r="K38" s="331" t="s">
        <v>156</v>
      </c>
      <c r="L38" s="338">
        <v>0.56299999999999994</v>
      </c>
      <c r="M38" s="338"/>
      <c r="N38" s="338"/>
      <c r="O38" s="339"/>
      <c r="P38" s="340">
        <v>0.66600000000000004</v>
      </c>
      <c r="Q38" s="338"/>
      <c r="R38" s="338"/>
      <c r="S38" s="341"/>
      <c r="T38" s="342">
        <v>7.69</v>
      </c>
      <c r="U38" s="338"/>
      <c r="V38" s="338"/>
      <c r="W38" s="339"/>
      <c r="X38" s="340">
        <v>0.872</v>
      </c>
      <c r="Y38" s="338"/>
      <c r="Z38" s="338"/>
      <c r="AA38" s="341"/>
      <c r="AB38" s="342">
        <v>0.97499999999999998</v>
      </c>
      <c r="AC38" s="338"/>
      <c r="AD38" s="338"/>
      <c r="AE38" s="339"/>
      <c r="AF38" s="340">
        <v>0.97499999999999998</v>
      </c>
      <c r="AG38" s="338"/>
      <c r="AH38" s="338"/>
      <c r="AI38" s="341"/>
      <c r="AJ38" s="1265"/>
      <c r="AK38" s="1038"/>
      <c r="AL38" s="965"/>
      <c r="AM38" s="966">
        <v>0.91800000000000004</v>
      </c>
      <c r="AN38" s="967"/>
      <c r="AO38" s="965"/>
      <c r="AP38" s="966">
        <v>0.91800000000000004</v>
      </c>
      <c r="AQ38" s="967"/>
      <c r="AR38" s="965"/>
      <c r="AS38" s="966">
        <v>0.91800000000000004</v>
      </c>
      <c r="AT38" s="967"/>
      <c r="AU38" s="965"/>
      <c r="AV38" s="966">
        <v>0.91800000000000004</v>
      </c>
      <c r="AW38" s="967"/>
      <c r="AX38" s="965"/>
      <c r="AY38" s="966">
        <v>0.91800000000000004</v>
      </c>
      <c r="AZ38" s="967"/>
      <c r="BA38" s="1096"/>
      <c r="BB38" s="1097">
        <v>1.117</v>
      </c>
      <c r="BC38" s="967"/>
      <c r="BD38" s="1395">
        <f>+($BG$3-BB38)/BB38</f>
        <v>0.76365264100268571</v>
      </c>
      <c r="BE38" s="1392">
        <f>+(BB38-AY38)/AY38</f>
        <v>0.21677559912854025</v>
      </c>
    </row>
    <row r="39" spans="1:57" s="1" customFormat="1" ht="13.8" x14ac:dyDescent="0.25">
      <c r="A39" s="1200"/>
      <c r="B39" s="18" t="s">
        <v>44</v>
      </c>
      <c r="C39" s="18"/>
      <c r="D39" s="88">
        <v>0.83200000000000007</v>
      </c>
      <c r="E39" s="88">
        <v>0.83200000000000007</v>
      </c>
      <c r="F39" s="88">
        <v>0.83200000000000007</v>
      </c>
      <c r="G39" s="88">
        <v>0.83200000000000007</v>
      </c>
      <c r="H39" s="89">
        <v>0.83200000000000007</v>
      </c>
      <c r="I39" s="117"/>
      <c r="J39" s="331"/>
      <c r="K39" s="331" t="s">
        <v>157</v>
      </c>
      <c r="L39" s="338">
        <v>1.1200000000000001</v>
      </c>
      <c r="M39" s="338"/>
      <c r="N39" s="338"/>
      <c r="O39" s="339"/>
      <c r="P39" s="340">
        <v>1.38</v>
      </c>
      <c r="Q39" s="338"/>
      <c r="R39" s="338"/>
      <c r="S39" s="341"/>
      <c r="T39" s="342">
        <v>1.64</v>
      </c>
      <c r="U39" s="338"/>
      <c r="V39" s="338"/>
      <c r="W39" s="339"/>
      <c r="X39" s="340">
        <v>1.9</v>
      </c>
      <c r="Y39" s="338"/>
      <c r="Z39" s="338"/>
      <c r="AA39" s="341"/>
      <c r="AB39" s="342">
        <v>1.64</v>
      </c>
      <c r="AC39" s="338"/>
      <c r="AD39" s="338"/>
      <c r="AE39" s="339"/>
      <c r="AF39" s="340">
        <v>1.64</v>
      </c>
      <c r="AG39" s="338"/>
      <c r="AH39" s="338"/>
      <c r="AI39" s="341"/>
      <c r="AJ39" s="1265" t="s">
        <v>256</v>
      </c>
      <c r="AK39" s="1039"/>
      <c r="AL39" s="1030">
        <v>0.5</v>
      </c>
      <c r="AM39" s="966"/>
      <c r="AN39" s="967"/>
      <c r="AO39" s="1030">
        <v>0.5</v>
      </c>
      <c r="AP39" s="966"/>
      <c r="AQ39" s="967"/>
      <c r="AR39" s="1030">
        <v>0.5</v>
      </c>
      <c r="AS39" s="966"/>
      <c r="AT39" s="967"/>
      <c r="AU39" s="1030">
        <v>0.5</v>
      </c>
      <c r="AV39" s="966"/>
      <c r="AW39" s="967"/>
      <c r="AX39" s="1030">
        <v>0.5</v>
      </c>
      <c r="AY39" s="966"/>
      <c r="AZ39" s="967"/>
      <c r="BA39" s="1098">
        <v>0.76900000000000002</v>
      </c>
      <c r="BB39" s="1097"/>
      <c r="BC39" s="967"/>
      <c r="BD39" s="1395">
        <f>+($BG$3-BA39)/BA39</f>
        <v>1.5617685305591678</v>
      </c>
      <c r="BE39" s="1392">
        <f t="shared" ref="BE39" si="0">+(BA39-AX39)/AX39</f>
        <v>0.53800000000000003</v>
      </c>
    </row>
    <row r="40" spans="1:57" s="1" customFormat="1" ht="13.8" x14ac:dyDescent="0.25">
      <c r="A40" s="1200"/>
      <c r="B40" s="18" t="s">
        <v>52</v>
      </c>
      <c r="C40" s="18"/>
      <c r="D40" s="88">
        <v>0.43200000000000005</v>
      </c>
      <c r="E40" s="88">
        <v>0.43200000000000005</v>
      </c>
      <c r="F40" s="88">
        <v>0.43200000000000005</v>
      </c>
      <c r="G40" s="88">
        <v>0.43200000000000005</v>
      </c>
      <c r="H40" s="89">
        <v>0.43200000000000005</v>
      </c>
      <c r="I40" s="117"/>
      <c r="J40" s="331"/>
      <c r="K40" s="331"/>
      <c r="L40" s="338"/>
      <c r="M40" s="338"/>
      <c r="N40" s="338"/>
      <c r="O40" s="339"/>
      <c r="P40" s="340"/>
      <c r="Q40" s="338"/>
      <c r="R40" s="338"/>
      <c r="S40" s="341"/>
      <c r="T40" s="342"/>
      <c r="U40" s="338"/>
      <c r="V40" s="338"/>
      <c r="W40" s="339"/>
      <c r="X40" s="340"/>
      <c r="Y40" s="338"/>
      <c r="Z40" s="338"/>
      <c r="AA40" s="339"/>
      <c r="AB40" s="340"/>
      <c r="AC40" s="338"/>
      <c r="AD40" s="338"/>
      <c r="AE40" s="339"/>
      <c r="AF40" s="340"/>
      <c r="AG40" s="338"/>
      <c r="AH40" s="338"/>
      <c r="AI40" s="341"/>
      <c r="AJ40" s="1265"/>
      <c r="AK40" s="1038"/>
      <c r="AL40" s="965"/>
      <c r="AM40" s="966">
        <v>0.91800000000000004</v>
      </c>
      <c r="AN40" s="967"/>
      <c r="AO40" s="965"/>
      <c r="AP40" s="966">
        <v>0.91800000000000004</v>
      </c>
      <c r="AQ40" s="967"/>
      <c r="AR40" s="965"/>
      <c r="AS40" s="966">
        <v>0.91800000000000004</v>
      </c>
      <c r="AT40" s="967"/>
      <c r="AU40" s="965"/>
      <c r="AV40" s="966">
        <v>0.91800000000000004</v>
      </c>
      <c r="AW40" s="967"/>
      <c r="AX40" s="965"/>
      <c r="AY40" s="966">
        <v>0.91800000000000004</v>
      </c>
      <c r="AZ40" s="967"/>
      <c r="BA40" s="1096"/>
      <c r="BB40" s="1097">
        <v>1.117</v>
      </c>
      <c r="BC40" s="967"/>
      <c r="BD40" s="1395">
        <f>+($BG$3-BB40)/BB40</f>
        <v>0.76365264100268571</v>
      </c>
      <c r="BE40" s="1392">
        <f>+(BB40-AY40)/AY40</f>
        <v>0.21677559912854025</v>
      </c>
    </row>
    <row r="41" spans="1:57" s="1" customFormat="1" ht="13.8" x14ac:dyDescent="0.25">
      <c r="A41" s="1200"/>
      <c r="B41" s="18" t="s">
        <v>45</v>
      </c>
      <c r="C41" s="18"/>
      <c r="D41" s="88">
        <v>0.81</v>
      </c>
      <c r="E41" s="88">
        <v>0.81</v>
      </c>
      <c r="F41" s="88">
        <v>0.81</v>
      </c>
      <c r="G41" s="88">
        <v>0.81</v>
      </c>
      <c r="H41" s="89">
        <v>0.81</v>
      </c>
      <c r="I41" s="117"/>
      <c r="J41" s="331"/>
      <c r="K41" s="331" t="s">
        <v>155</v>
      </c>
      <c r="L41" s="338"/>
      <c r="M41" s="338">
        <v>0.872</v>
      </c>
      <c r="N41" s="338"/>
      <c r="O41" s="339"/>
      <c r="P41" s="340"/>
      <c r="Q41" s="338">
        <v>0.89500000000000002</v>
      </c>
      <c r="R41" s="338"/>
      <c r="S41" s="341"/>
      <c r="T41" s="342"/>
      <c r="U41" s="342">
        <v>0.91800000000000004</v>
      </c>
      <c r="V41" s="338"/>
      <c r="W41" s="339"/>
      <c r="X41" s="688"/>
      <c r="Y41" s="338">
        <v>0.94099999999999995</v>
      </c>
      <c r="Z41" s="338"/>
      <c r="AA41" s="341"/>
      <c r="AB41" s="342"/>
      <c r="AC41" s="342">
        <v>0.91800000000000004</v>
      </c>
      <c r="AD41" s="338"/>
      <c r="AE41" s="339"/>
      <c r="AF41" s="340"/>
      <c r="AG41" s="338">
        <v>0.91800000000000004</v>
      </c>
      <c r="AH41" s="338"/>
      <c r="AI41" s="341"/>
      <c r="AJ41" s="1265" t="s">
        <v>257</v>
      </c>
      <c r="AK41" s="1038" t="s">
        <v>31</v>
      </c>
      <c r="AL41" s="965"/>
      <c r="AM41" s="966"/>
      <c r="AN41" s="967">
        <v>1.64</v>
      </c>
      <c r="AO41" s="965"/>
      <c r="AP41" s="966"/>
      <c r="AQ41" s="967">
        <v>1.64</v>
      </c>
      <c r="AR41" s="965"/>
      <c r="AS41" s="966"/>
      <c r="AT41" s="967">
        <v>1.64</v>
      </c>
      <c r="AU41" s="965"/>
      <c r="AV41" s="966"/>
      <c r="AW41" s="967">
        <v>1.64</v>
      </c>
      <c r="AX41" s="965"/>
      <c r="AY41" s="966"/>
      <c r="AZ41" s="967">
        <v>1.64</v>
      </c>
      <c r="BA41" s="965"/>
      <c r="BB41" s="966"/>
      <c r="BC41" s="1099">
        <v>2.0699999999999998</v>
      </c>
      <c r="BD41" s="1396"/>
      <c r="BE41" s="1392">
        <f>+(BC41-AZ41)/AZ41</f>
        <v>0.26219512195121947</v>
      </c>
    </row>
    <row r="42" spans="1:57" s="1" customFormat="1" ht="13.8" x14ac:dyDescent="0.25">
      <c r="A42" s="1200"/>
      <c r="B42" s="18" t="s">
        <v>46</v>
      </c>
      <c r="C42" s="18"/>
      <c r="D42" s="88">
        <v>1.08</v>
      </c>
      <c r="E42" s="88">
        <v>1.08</v>
      </c>
      <c r="F42" s="88">
        <v>1.08</v>
      </c>
      <c r="G42" s="88">
        <v>1.08</v>
      </c>
      <c r="H42" s="89">
        <v>1.08</v>
      </c>
      <c r="I42" s="117"/>
      <c r="J42" s="331"/>
      <c r="K42" s="331" t="s">
        <v>158</v>
      </c>
      <c r="L42" s="338"/>
      <c r="M42" s="338">
        <v>1.3480000000000001</v>
      </c>
      <c r="N42" s="338"/>
      <c r="O42" s="339"/>
      <c r="P42" s="340"/>
      <c r="Q42" s="338">
        <v>1.5509999999999999</v>
      </c>
      <c r="R42" s="338"/>
      <c r="S42" s="341"/>
      <c r="T42" s="342"/>
      <c r="U42" s="342">
        <v>1.754</v>
      </c>
      <c r="V42" s="338"/>
      <c r="W42" s="339"/>
      <c r="X42" s="688"/>
      <c r="Y42" s="338">
        <v>1.9570000000000001</v>
      </c>
      <c r="Z42" s="338"/>
      <c r="AA42" s="341"/>
      <c r="AB42" s="342"/>
      <c r="AC42" s="342">
        <v>1.754</v>
      </c>
      <c r="AD42" s="338"/>
      <c r="AE42" s="339"/>
      <c r="AF42" s="340"/>
      <c r="AG42" s="338">
        <v>1.754</v>
      </c>
      <c r="AH42" s="338"/>
      <c r="AI42" s="341"/>
      <c r="AJ42" s="1265"/>
      <c r="AK42" s="1038" t="s">
        <v>33</v>
      </c>
      <c r="AL42" s="965"/>
      <c r="AM42" s="966"/>
      <c r="AN42" s="967">
        <v>1.754</v>
      </c>
      <c r="AO42" s="965"/>
      <c r="AP42" s="966"/>
      <c r="AQ42" s="967">
        <v>1.754</v>
      </c>
      <c r="AR42" s="965"/>
      <c r="AS42" s="966"/>
      <c r="AT42" s="967">
        <v>1.754</v>
      </c>
      <c r="AU42" s="965"/>
      <c r="AV42" s="966"/>
      <c r="AW42" s="967">
        <v>1.754</v>
      </c>
      <c r="AX42" s="965"/>
      <c r="AY42" s="966"/>
      <c r="AZ42" s="967">
        <v>1.754</v>
      </c>
      <c r="BA42" s="965"/>
      <c r="BB42" s="966"/>
      <c r="BC42" s="1099">
        <v>2.165</v>
      </c>
      <c r="BD42" s="1396"/>
      <c r="BE42" s="1392">
        <f t="shared" ref="BE42:BE44" si="1">+(BC42-AZ42)/AZ42</f>
        <v>0.23432155074116306</v>
      </c>
    </row>
    <row r="43" spans="1:57" s="1" customFormat="1" ht="13.8" x14ac:dyDescent="0.25">
      <c r="A43" s="1200"/>
      <c r="B43" s="18" t="s">
        <v>47</v>
      </c>
      <c r="C43" s="18"/>
      <c r="D43" s="88">
        <v>1.1019999999999999</v>
      </c>
      <c r="E43" s="88">
        <v>1.1019999999999999</v>
      </c>
      <c r="F43" s="88">
        <v>1.1019999999999999</v>
      </c>
      <c r="G43" s="88">
        <v>1.1019999999999999</v>
      </c>
      <c r="H43" s="89">
        <v>1.1019999999999999</v>
      </c>
      <c r="I43" s="117"/>
      <c r="J43" s="331"/>
      <c r="K43" s="331"/>
      <c r="L43" s="338"/>
      <c r="M43" s="338"/>
      <c r="N43" s="338"/>
      <c r="O43" s="339"/>
      <c r="P43" s="340"/>
      <c r="Q43" s="338"/>
      <c r="R43" s="338"/>
      <c r="S43" s="341"/>
      <c r="T43" s="342"/>
      <c r="U43" s="338"/>
      <c r="V43" s="338"/>
      <c r="W43" s="339"/>
      <c r="X43" s="688"/>
      <c r="Y43" s="338"/>
      <c r="Z43" s="338"/>
      <c r="AA43" s="341"/>
      <c r="AB43" s="342"/>
      <c r="AC43" s="338"/>
      <c r="AD43" s="338"/>
      <c r="AE43" s="339"/>
      <c r="AF43" s="340"/>
      <c r="AG43" s="339"/>
      <c r="AH43" s="338"/>
      <c r="AI43" s="341"/>
      <c r="AJ43" s="1265" t="s">
        <v>258</v>
      </c>
      <c r="AK43" s="1038" t="s">
        <v>31</v>
      </c>
      <c r="AL43" s="965"/>
      <c r="AM43" s="966"/>
      <c r="AN43" s="967">
        <v>1.64</v>
      </c>
      <c r="AO43" s="965"/>
      <c r="AP43" s="966"/>
      <c r="AQ43" s="967">
        <v>1.64</v>
      </c>
      <c r="AR43" s="965"/>
      <c r="AS43" s="966"/>
      <c r="AT43" s="967">
        <v>1.64</v>
      </c>
      <c r="AU43" s="965"/>
      <c r="AV43" s="966"/>
      <c r="AW43" s="967">
        <v>1.64</v>
      </c>
      <c r="AX43" s="965"/>
      <c r="AY43" s="966"/>
      <c r="AZ43" s="967">
        <v>1.64</v>
      </c>
      <c r="BA43" s="965"/>
      <c r="BB43" s="966"/>
      <c r="BC43" s="1099">
        <v>2.0699999999999998</v>
      </c>
      <c r="BD43" s="1396"/>
      <c r="BE43" s="1392">
        <f t="shared" si="1"/>
        <v>0.26219512195121947</v>
      </c>
    </row>
    <row r="44" spans="1:57" s="1" customFormat="1" ht="13.8" x14ac:dyDescent="0.25">
      <c r="A44" s="1200"/>
      <c r="B44" s="18" t="s">
        <v>48</v>
      </c>
      <c r="C44" s="18"/>
      <c r="D44" s="88">
        <v>0.81</v>
      </c>
      <c r="E44" s="88">
        <v>0.81</v>
      </c>
      <c r="F44" s="88">
        <v>0.81</v>
      </c>
      <c r="G44" s="88">
        <v>0.81</v>
      </c>
      <c r="H44" s="89">
        <v>0.81</v>
      </c>
      <c r="I44" s="117"/>
      <c r="J44" s="331"/>
      <c r="K44" s="331" t="s">
        <v>159</v>
      </c>
      <c r="L44" s="338"/>
      <c r="M44" s="338"/>
      <c r="N44" s="338"/>
      <c r="O44" s="338">
        <v>1.1200000000000001</v>
      </c>
      <c r="P44" s="340"/>
      <c r="Q44" s="338"/>
      <c r="R44" s="338"/>
      <c r="S44" s="339">
        <v>1.38</v>
      </c>
      <c r="T44" s="340"/>
      <c r="U44" s="338"/>
      <c r="V44" s="338"/>
      <c r="W44" s="342">
        <v>1.64</v>
      </c>
      <c r="X44" s="688"/>
      <c r="Y44" s="338"/>
      <c r="Z44" s="338"/>
      <c r="AA44" s="341">
        <v>1.9</v>
      </c>
      <c r="AB44" s="342"/>
      <c r="AC44" s="338"/>
      <c r="AD44" s="338"/>
      <c r="AE44" s="689">
        <v>1.64</v>
      </c>
      <c r="AF44" s="340"/>
      <c r="AG44" s="339"/>
      <c r="AH44" s="338"/>
      <c r="AI44" s="341">
        <v>1.64</v>
      </c>
      <c r="AJ44" s="1265"/>
      <c r="AK44" s="1038" t="s">
        <v>33</v>
      </c>
      <c r="AL44" s="965"/>
      <c r="AM44" s="966"/>
      <c r="AN44" s="967">
        <v>1.754</v>
      </c>
      <c r="AO44" s="965"/>
      <c r="AP44" s="966"/>
      <c r="AQ44" s="967">
        <v>1.754</v>
      </c>
      <c r="AR44" s="965"/>
      <c r="AS44" s="966"/>
      <c r="AT44" s="967">
        <v>1.754</v>
      </c>
      <c r="AU44" s="965"/>
      <c r="AV44" s="966"/>
      <c r="AW44" s="967">
        <v>1.754</v>
      </c>
      <c r="AX44" s="965"/>
      <c r="AY44" s="966"/>
      <c r="AZ44" s="967">
        <v>1.754</v>
      </c>
      <c r="BA44" s="965"/>
      <c r="BB44" s="966"/>
      <c r="BC44" s="1099">
        <v>2.165</v>
      </c>
      <c r="BD44" s="1397"/>
      <c r="BE44" s="1392">
        <f t="shared" si="1"/>
        <v>0.23432155074116306</v>
      </c>
    </row>
    <row r="45" spans="1:57" s="1" customFormat="1" ht="13.8" x14ac:dyDescent="0.25">
      <c r="A45" s="1200"/>
      <c r="B45" s="18" t="s">
        <v>49</v>
      </c>
      <c r="C45" s="18"/>
      <c r="D45" s="88">
        <v>0.83200000000000007</v>
      </c>
      <c r="E45" s="88">
        <v>0.83200000000000007</v>
      </c>
      <c r="F45" s="88">
        <v>0.83200000000000007</v>
      </c>
      <c r="G45" s="88">
        <v>0.83200000000000007</v>
      </c>
      <c r="H45" s="89">
        <v>0.83200000000000007</v>
      </c>
      <c r="I45" s="117"/>
      <c r="J45" s="331"/>
      <c r="K45" s="331"/>
      <c r="L45" s="338"/>
      <c r="M45" s="338"/>
      <c r="N45" s="338"/>
      <c r="O45" s="338"/>
      <c r="P45" s="340"/>
      <c r="Q45" s="338"/>
      <c r="R45" s="338"/>
      <c r="S45" s="339"/>
      <c r="T45" s="340"/>
      <c r="U45" s="338"/>
      <c r="V45" s="338"/>
      <c r="W45" s="342"/>
      <c r="X45" s="688"/>
      <c r="Y45" s="338"/>
      <c r="Z45" s="338"/>
      <c r="AA45" s="341"/>
      <c r="AB45" s="342"/>
      <c r="AC45" s="338"/>
      <c r="AD45" s="338"/>
      <c r="AE45" s="689"/>
      <c r="AF45" s="340"/>
      <c r="AG45" s="339"/>
      <c r="AH45" s="338"/>
      <c r="AI45" s="341"/>
      <c r="AL45" s="965"/>
      <c r="AM45" s="966"/>
      <c r="AN45" s="966"/>
      <c r="AO45" s="965"/>
      <c r="AP45" s="966"/>
      <c r="AQ45" s="966"/>
      <c r="AR45" s="965"/>
      <c r="AS45" s="966"/>
      <c r="AT45" s="966"/>
      <c r="AU45" s="965"/>
      <c r="AV45" s="966"/>
      <c r="AW45" s="966"/>
      <c r="AX45" s="965"/>
      <c r="AY45" s="966"/>
      <c r="AZ45" s="966"/>
      <c r="BA45" s="965"/>
      <c r="BB45" s="966"/>
      <c r="BC45" s="967"/>
      <c r="BD45" s="1398"/>
      <c r="BE45" s="1383"/>
    </row>
    <row r="46" spans="1:57" s="1" customFormat="1" ht="13.8" x14ac:dyDescent="0.25">
      <c r="A46" s="1200"/>
      <c r="B46" s="18" t="s">
        <v>50</v>
      </c>
      <c r="C46" s="18"/>
      <c r="D46" s="88">
        <v>1.08</v>
      </c>
      <c r="E46" s="88">
        <v>1.08</v>
      </c>
      <c r="F46" s="88">
        <v>1.08</v>
      </c>
      <c r="G46" s="88">
        <v>1.08</v>
      </c>
      <c r="H46" s="89">
        <v>1.08</v>
      </c>
      <c r="I46" s="117"/>
      <c r="J46" s="331"/>
      <c r="K46" s="331" t="s">
        <v>160</v>
      </c>
      <c r="L46" s="338"/>
      <c r="M46" s="338"/>
      <c r="N46" s="338"/>
      <c r="O46" s="338">
        <v>1.3480000000000001</v>
      </c>
      <c r="P46" s="340"/>
      <c r="Q46" s="338"/>
      <c r="R46" s="338"/>
      <c r="S46" s="339">
        <v>1.5509999999999999</v>
      </c>
      <c r="T46" s="340"/>
      <c r="U46" s="338"/>
      <c r="V46" s="338"/>
      <c r="W46" s="342">
        <v>1.754</v>
      </c>
      <c r="X46" s="688"/>
      <c r="Y46" s="338"/>
      <c r="Z46" s="338"/>
      <c r="AA46" s="341">
        <v>1.9570000000000001</v>
      </c>
      <c r="AB46" s="342"/>
      <c r="AC46" s="338"/>
      <c r="AD46" s="338"/>
      <c r="AE46" s="689">
        <v>1.754</v>
      </c>
      <c r="AF46" s="340"/>
      <c r="AG46" s="339"/>
      <c r="AH46" s="338"/>
      <c r="AI46" s="341">
        <v>1.754</v>
      </c>
      <c r="AL46" s="965"/>
      <c r="AM46" s="966"/>
      <c r="AN46" s="966"/>
      <c r="AO46" s="965"/>
      <c r="AP46" s="966"/>
      <c r="AQ46" s="966"/>
      <c r="AR46" s="965"/>
      <c r="AS46" s="966"/>
      <c r="AT46" s="966"/>
      <c r="AU46" s="965"/>
      <c r="AV46" s="966"/>
      <c r="AW46" s="966"/>
      <c r="AX46" s="965"/>
      <c r="AY46" s="966"/>
      <c r="AZ46" s="966"/>
      <c r="BA46" s="965"/>
      <c r="BB46" s="966"/>
      <c r="BC46" s="967"/>
      <c r="BD46" s="1398"/>
      <c r="BE46" s="1383"/>
    </row>
    <row r="47" spans="1:57" ht="14.4" thickBot="1" x14ac:dyDescent="0.3">
      <c r="A47" s="1201"/>
      <c r="B47" s="21" t="s">
        <v>51</v>
      </c>
      <c r="C47" s="21"/>
      <c r="D47" s="90">
        <v>1.1019999999999999</v>
      </c>
      <c r="E47" s="90">
        <v>1.1019999999999999</v>
      </c>
      <c r="F47" s="90">
        <v>1.1019999999999999</v>
      </c>
      <c r="G47" s="90">
        <v>1.1019999999999999</v>
      </c>
      <c r="H47" s="91">
        <v>1.1019999999999999</v>
      </c>
      <c r="I47" s="121"/>
      <c r="J47" s="332"/>
      <c r="K47" s="332"/>
      <c r="L47" s="343"/>
      <c r="M47" s="343"/>
      <c r="N47" s="343"/>
      <c r="O47" s="344"/>
      <c r="P47" s="345"/>
      <c r="Q47" s="343"/>
      <c r="R47" s="343"/>
      <c r="S47" s="344"/>
      <c r="T47" s="345"/>
      <c r="U47" s="343"/>
      <c r="V47" s="343"/>
      <c r="W47" s="344"/>
      <c r="X47" s="345"/>
      <c r="Y47" s="343"/>
      <c r="Z47" s="343"/>
      <c r="AA47" s="344"/>
      <c r="AB47" s="345"/>
      <c r="AC47" s="343"/>
      <c r="AD47" s="343"/>
      <c r="AE47" s="344"/>
      <c r="AF47" s="345"/>
      <c r="AG47" s="343"/>
      <c r="AH47" s="343"/>
      <c r="AI47" s="346"/>
      <c r="AL47" s="968"/>
      <c r="AM47" s="969"/>
      <c r="AN47" s="970"/>
      <c r="AO47" s="968"/>
      <c r="AP47" s="969"/>
      <c r="AQ47" s="970"/>
      <c r="AR47" s="968"/>
      <c r="AS47" s="969"/>
      <c r="AT47" s="970"/>
      <c r="AU47" s="968"/>
      <c r="AV47" s="969"/>
      <c r="AW47" s="970"/>
      <c r="AX47" s="968"/>
      <c r="AY47" s="969"/>
      <c r="AZ47" s="970"/>
      <c r="BA47" s="968"/>
      <c r="BB47" s="969"/>
      <c r="BC47" s="970"/>
      <c r="BD47" s="1399"/>
      <c r="BE47" s="1400"/>
    </row>
    <row r="48" spans="1:57" ht="24.9" customHeight="1" x14ac:dyDescent="0.25"/>
    <row r="49" ht="27.75" customHeight="1" x14ac:dyDescent="0.25"/>
    <row r="50" ht="27.6"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row r="395" ht="24.9" customHeight="1" x14ac:dyDescent="0.25"/>
    <row r="396" ht="24.9" customHeight="1" x14ac:dyDescent="0.25"/>
    <row r="397" ht="24.9" customHeight="1" x14ac:dyDescent="0.25"/>
    <row r="398" ht="24.9" customHeight="1" x14ac:dyDescent="0.25"/>
  </sheetData>
  <mergeCells count="74">
    <mergeCell ref="BA2:BC2"/>
    <mergeCell ref="AJ2:AJ9"/>
    <mergeCell ref="AL2:AN2"/>
    <mergeCell ref="AO2:AQ2"/>
    <mergeCell ref="AR2:AT2"/>
    <mergeCell ref="AU2:AW2"/>
    <mergeCell ref="AX2:AZ2"/>
    <mergeCell ref="AL4:AL5"/>
    <mergeCell ref="AM6:AM7"/>
    <mergeCell ref="AN4:AN5"/>
    <mergeCell ref="AN6:AN7"/>
    <mergeCell ref="AM4:AM5"/>
    <mergeCell ref="AL6:AL7"/>
    <mergeCell ref="AL8:AN9"/>
    <mergeCell ref="AO4:AO5"/>
    <mergeCell ref="AP4:AP5"/>
    <mergeCell ref="J24:J26"/>
    <mergeCell ref="AJ37:AJ38"/>
    <mergeCell ref="AJ39:AJ40"/>
    <mergeCell ref="AJ41:AJ42"/>
    <mergeCell ref="AJ43:AJ44"/>
    <mergeCell ref="K24:K26"/>
    <mergeCell ref="A27:A28"/>
    <mergeCell ref="B24:B26"/>
    <mergeCell ref="A33:A36"/>
    <mergeCell ref="A3:A9"/>
    <mergeCell ref="A37:A47"/>
    <mergeCell ref="A29:A32"/>
    <mergeCell ref="A10:A26"/>
    <mergeCell ref="AB2:AE2"/>
    <mergeCell ref="AF2:AI2"/>
    <mergeCell ref="A1:D1"/>
    <mergeCell ref="I6:I9"/>
    <mergeCell ref="J6:J9"/>
    <mergeCell ref="L2:O2"/>
    <mergeCell ref="P2:S2"/>
    <mergeCell ref="T2:W2"/>
    <mergeCell ref="X2:AA2"/>
    <mergeCell ref="A2:B2"/>
    <mergeCell ref="AQ4:AQ5"/>
    <mergeCell ref="AO6:AO7"/>
    <mergeCell ref="AP6:AP7"/>
    <mergeCell ref="AQ6:AQ7"/>
    <mergeCell ref="AO8:AQ9"/>
    <mergeCell ref="AR8:AT9"/>
    <mergeCell ref="AU4:AU5"/>
    <mergeCell ref="AV4:AV5"/>
    <mergeCell ref="AW4:AW5"/>
    <mergeCell ref="AU6:AU7"/>
    <mergeCell ref="AV6:AV7"/>
    <mergeCell ref="AW6:AW7"/>
    <mergeCell ref="AU8:AW9"/>
    <mergeCell ref="AR4:AR5"/>
    <mergeCell ref="AS4:AS5"/>
    <mergeCell ref="AT4:AT5"/>
    <mergeCell ref="AR6:AR7"/>
    <mergeCell ref="AS6:AS7"/>
    <mergeCell ref="AT6:AT7"/>
    <mergeCell ref="BG1:BH1"/>
    <mergeCell ref="BI1:BJ1"/>
    <mergeCell ref="AX8:AZ9"/>
    <mergeCell ref="BA4:BA5"/>
    <mergeCell ref="BB4:BB5"/>
    <mergeCell ref="BC4:BC5"/>
    <mergeCell ref="BA6:BA7"/>
    <mergeCell ref="BB6:BB7"/>
    <mergeCell ref="BC6:BC7"/>
    <mergeCell ref="BA8:BC9"/>
    <mergeCell ref="AX4:AX5"/>
    <mergeCell ref="AY4:AY5"/>
    <mergeCell ref="AZ4:AZ5"/>
    <mergeCell ref="AX6:AX7"/>
    <mergeCell ref="AY6:AY7"/>
    <mergeCell ref="AZ6:AZ7"/>
  </mergeCells>
  <phoneticPr fontId="0" type="noConversion"/>
  <pageMargins left="0" right="0" top="0" bottom="0" header="0" footer="0"/>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9C45C-D766-4AFB-8633-AB886C1DC6E3}">
  <sheetPr>
    <pageSetUpPr fitToPage="1"/>
  </sheetPr>
  <dimension ref="A1:AD394"/>
  <sheetViews>
    <sheetView showZeros="0" zoomScale="70" zoomScaleNormal="70" workbookViewId="0">
      <pane xSplit="2" ySplit="3" topLeftCell="G7" activePane="bottomRight" state="frozen"/>
      <selection pane="topRight" activeCell="C1" sqref="C1"/>
      <selection pane="bottomLeft" activeCell="A4" sqref="A4"/>
      <selection pane="bottomRight" activeCell="X3" sqref="X3:Y3"/>
    </sheetView>
  </sheetViews>
  <sheetFormatPr baseColWidth="10" defaultColWidth="11.44140625" defaultRowHeight="13.2" x14ac:dyDescent="0.25"/>
  <cols>
    <col min="1" max="1" width="6.5546875" style="3" customWidth="1"/>
    <col min="2" max="2" width="16.6640625" style="13" customWidth="1"/>
    <col min="3" max="3" width="34.109375" style="3" customWidth="1"/>
    <col min="4" max="4" width="5.6640625" style="3" customWidth="1"/>
    <col min="5" max="22" width="9.33203125" style="3" customWidth="1"/>
    <col min="23" max="25" width="16.33203125" style="3" customWidth="1"/>
    <col min="26" max="26" width="22.5546875" style="3" customWidth="1"/>
    <col min="27" max="16384" width="11.44140625" style="3"/>
  </cols>
  <sheetData>
    <row r="1" spans="1:30" ht="28.2" customHeight="1" thickBot="1" x14ac:dyDescent="0.3">
      <c r="A1" s="1250" t="s">
        <v>153</v>
      </c>
      <c r="B1" s="1250"/>
      <c r="E1" s="94"/>
      <c r="U1" s="1157" t="s">
        <v>272</v>
      </c>
      <c r="Z1" s="1089" t="s">
        <v>270</v>
      </c>
      <c r="AA1" s="1228" t="s">
        <v>260</v>
      </c>
      <c r="AB1" s="1229"/>
      <c r="AC1" s="1228" t="s">
        <v>261</v>
      </c>
      <c r="AD1" s="1229"/>
    </row>
    <row r="2" spans="1:30" s="1" customFormat="1" ht="24.9" customHeight="1" thickBot="1" x14ac:dyDescent="0.3">
      <c r="A2" s="1256"/>
      <c r="B2" s="1257"/>
      <c r="C2" s="1266" t="s">
        <v>217</v>
      </c>
      <c r="D2" s="1033"/>
      <c r="E2" s="1248">
        <v>2019</v>
      </c>
      <c r="F2" s="1247"/>
      <c r="G2" s="1247"/>
      <c r="H2" s="1248">
        <v>2020</v>
      </c>
      <c r="I2" s="1247"/>
      <c r="J2" s="1249"/>
      <c r="K2" s="1247">
        <v>2021</v>
      </c>
      <c r="L2" s="1247"/>
      <c r="M2" s="1247"/>
      <c r="N2" s="1248">
        <v>2022</v>
      </c>
      <c r="O2" s="1247"/>
      <c r="P2" s="1249"/>
      <c r="Q2" s="1247">
        <v>2023</v>
      </c>
      <c r="R2" s="1247"/>
      <c r="S2" s="1247"/>
      <c r="T2" s="1248">
        <v>2024</v>
      </c>
      <c r="U2" s="1247"/>
      <c r="V2" s="1249"/>
      <c r="Z2" s="1090" t="s">
        <v>271</v>
      </c>
      <c r="AA2" s="1083" t="s">
        <v>262</v>
      </c>
      <c r="AB2" s="1083" t="s">
        <v>263</v>
      </c>
      <c r="AC2" s="1083" t="s">
        <v>262</v>
      </c>
      <c r="AD2" s="1083" t="s">
        <v>263</v>
      </c>
    </row>
    <row r="3" spans="1:30" s="1" customFormat="1" ht="24.9" customHeight="1" thickBot="1" x14ac:dyDescent="0.3">
      <c r="A3" s="1188" t="s">
        <v>23</v>
      </c>
      <c r="B3" s="100"/>
      <c r="C3" s="1266"/>
      <c r="D3" s="1033"/>
      <c r="E3" s="733" t="s">
        <v>31</v>
      </c>
      <c r="F3" s="734" t="s">
        <v>33</v>
      </c>
      <c r="G3" s="735" t="s">
        <v>15</v>
      </c>
      <c r="H3" s="733" t="s">
        <v>31</v>
      </c>
      <c r="I3" s="734" t="s">
        <v>33</v>
      </c>
      <c r="J3" s="736" t="s">
        <v>15</v>
      </c>
      <c r="K3" s="737" t="s">
        <v>31</v>
      </c>
      <c r="L3" s="734" t="s">
        <v>33</v>
      </c>
      <c r="M3" s="735" t="s">
        <v>15</v>
      </c>
      <c r="N3" s="733" t="s">
        <v>31</v>
      </c>
      <c r="O3" s="734" t="s">
        <v>33</v>
      </c>
      <c r="P3" s="736" t="s">
        <v>15</v>
      </c>
      <c r="Q3" s="737" t="s">
        <v>31</v>
      </c>
      <c r="R3" s="734" t="s">
        <v>33</v>
      </c>
      <c r="S3" s="735" t="s">
        <v>15</v>
      </c>
      <c r="T3" s="733" t="s">
        <v>31</v>
      </c>
      <c r="U3" s="734" t="s">
        <v>33</v>
      </c>
      <c r="V3" s="736" t="s">
        <v>15</v>
      </c>
      <c r="W3" s="1" t="s">
        <v>274</v>
      </c>
      <c r="X3" s="1267" t="s">
        <v>275</v>
      </c>
      <c r="Y3" s="1268"/>
      <c r="Z3" s="1084" t="s">
        <v>265</v>
      </c>
      <c r="AA3" s="1085">
        <v>0</v>
      </c>
      <c r="AB3" s="1085">
        <v>0.7</v>
      </c>
      <c r="AC3" s="1085">
        <v>0</v>
      </c>
      <c r="AD3" s="1085">
        <v>1.4</v>
      </c>
    </row>
    <row r="4" spans="1:30" s="1" customFormat="1" ht="13.8" x14ac:dyDescent="0.25">
      <c r="A4" s="1190"/>
      <c r="B4" s="14" t="s">
        <v>34</v>
      </c>
      <c r="C4" s="1266"/>
      <c r="D4" s="1033"/>
      <c r="E4" s="994">
        <v>0.2</v>
      </c>
      <c r="F4" s="995"/>
      <c r="G4" s="996">
        <v>0.14000000000000001</v>
      </c>
      <c r="H4" s="994">
        <v>0.2</v>
      </c>
      <c r="I4" s="995"/>
      <c r="J4" s="996">
        <v>0.14000000000000001</v>
      </c>
      <c r="K4" s="994">
        <v>0.2</v>
      </c>
      <c r="L4" s="995"/>
      <c r="M4" s="996">
        <v>0.14000000000000001</v>
      </c>
      <c r="N4" s="994">
        <v>0.2</v>
      </c>
      <c r="O4" s="995"/>
      <c r="P4" s="996">
        <v>0.14000000000000001</v>
      </c>
      <c r="Q4" s="994">
        <v>0.2</v>
      </c>
      <c r="R4" s="995"/>
      <c r="S4" s="996">
        <v>0.14000000000000001</v>
      </c>
      <c r="T4" s="994">
        <v>0.2</v>
      </c>
      <c r="U4" s="995"/>
      <c r="V4" s="996">
        <v>0.14000000000000001</v>
      </c>
      <c r="X4" s="758">
        <f>+($AB$3-T4)/T4</f>
        <v>2.4999999999999996</v>
      </c>
      <c r="Y4" s="758">
        <f>+($AD$3-V4)/V4</f>
        <v>8.9999999999999982</v>
      </c>
    </row>
    <row r="5" spans="1:30" s="1" customFormat="1" ht="30" customHeight="1" thickBot="1" x14ac:dyDescent="0.3">
      <c r="A5" s="1190"/>
      <c r="B5" s="18" t="s">
        <v>36</v>
      </c>
      <c r="C5" s="1266"/>
      <c r="D5" s="1033"/>
      <c r="E5" s="324"/>
      <c r="F5" s="322">
        <v>0.2</v>
      </c>
      <c r="G5" s="325">
        <v>0.18</v>
      </c>
      <c r="H5" s="324"/>
      <c r="I5" s="322">
        <v>0.2</v>
      </c>
      <c r="J5" s="325">
        <v>0.18</v>
      </c>
      <c r="K5" s="324"/>
      <c r="L5" s="322">
        <v>0.2</v>
      </c>
      <c r="M5" s="325">
        <v>0.18</v>
      </c>
      <c r="N5" s="324"/>
      <c r="O5" s="322">
        <v>0.2</v>
      </c>
      <c r="P5" s="325">
        <v>0.18</v>
      </c>
      <c r="Q5" s="324"/>
      <c r="R5" s="322">
        <v>0.2</v>
      </c>
      <c r="S5" s="325">
        <v>0.18</v>
      </c>
      <c r="T5" s="324"/>
      <c r="U5" s="322">
        <v>0.2</v>
      </c>
      <c r="V5" s="325">
        <v>0.18</v>
      </c>
      <c r="X5" s="758">
        <f>+($AB$3-U5)/U5</f>
        <v>2.4999999999999996</v>
      </c>
      <c r="Y5" s="758">
        <f>+($AD$3-V5)/V5</f>
        <v>6.7777777777777777</v>
      </c>
      <c r="Z5"/>
      <c r="AA5"/>
      <c r="AB5"/>
      <c r="AC5"/>
      <c r="AD5"/>
    </row>
    <row r="6" spans="1:30" s="8" customFormat="1" ht="13.8" x14ac:dyDescent="0.25">
      <c r="A6" s="1198" t="s">
        <v>24</v>
      </c>
      <c r="B6" s="14" t="s">
        <v>53</v>
      </c>
      <c r="E6" s="998">
        <v>0.5</v>
      </c>
      <c r="F6" s="999"/>
      <c r="G6" s="1000"/>
      <c r="H6" s="998">
        <v>0.5</v>
      </c>
      <c r="I6" s="999"/>
      <c r="J6" s="1000"/>
      <c r="K6" s="998">
        <v>0.5</v>
      </c>
      <c r="L6" s="999"/>
      <c r="M6" s="1000"/>
      <c r="N6" s="998">
        <v>0.5</v>
      </c>
      <c r="O6" s="999"/>
      <c r="P6" s="1000"/>
      <c r="Q6" s="998">
        <v>0.5</v>
      </c>
      <c r="R6" s="999"/>
      <c r="S6" s="1000"/>
      <c r="T6" s="998">
        <v>0.5</v>
      </c>
      <c r="U6" s="999"/>
      <c r="V6" s="869"/>
      <c r="W6" s="990"/>
      <c r="X6" s="990"/>
      <c r="Y6" s="990"/>
      <c r="Z6"/>
      <c r="AA6"/>
      <c r="AB6"/>
      <c r="AC6"/>
      <c r="AD6"/>
    </row>
    <row r="7" spans="1:30" s="8" customFormat="1" ht="13.8" x14ac:dyDescent="0.25">
      <c r="A7" s="1200"/>
      <c r="B7" s="18" t="s">
        <v>54</v>
      </c>
      <c r="E7" s="788"/>
      <c r="F7" s="788">
        <v>0.5</v>
      </c>
      <c r="G7" s="146"/>
      <c r="H7" s="788"/>
      <c r="I7" s="788">
        <v>0.5</v>
      </c>
      <c r="J7" s="146"/>
      <c r="K7" s="788"/>
      <c r="L7" s="788">
        <v>0.5</v>
      </c>
      <c r="M7" s="146"/>
      <c r="N7" s="788"/>
      <c r="O7" s="788">
        <v>0.5</v>
      </c>
      <c r="P7" s="146"/>
      <c r="Q7" s="788"/>
      <c r="R7" s="788">
        <v>0.5</v>
      </c>
      <c r="S7" s="146"/>
      <c r="T7" s="788"/>
      <c r="U7" s="788">
        <v>0.5</v>
      </c>
      <c r="V7" s="204"/>
      <c r="Z7"/>
      <c r="AA7"/>
      <c r="AB7"/>
      <c r="AC7"/>
      <c r="AD7"/>
    </row>
    <row r="8" spans="1:30" s="8" customFormat="1" ht="13.8" x14ac:dyDescent="0.25">
      <c r="A8" s="1200"/>
      <c r="B8" s="18" t="s">
        <v>57</v>
      </c>
      <c r="E8" s="788">
        <v>0.5</v>
      </c>
      <c r="F8" s="145"/>
      <c r="G8" s="146"/>
      <c r="H8" s="788">
        <v>0.5</v>
      </c>
      <c r="I8" s="145"/>
      <c r="J8" s="146"/>
      <c r="K8" s="788">
        <v>0.5</v>
      </c>
      <c r="L8" s="145"/>
      <c r="M8" s="146"/>
      <c r="N8" s="788">
        <v>0.5</v>
      </c>
      <c r="O8" s="145"/>
      <c r="P8" s="146"/>
      <c r="Q8" s="788">
        <v>0.5</v>
      </c>
      <c r="R8" s="145"/>
      <c r="S8" s="146"/>
      <c r="T8" s="788">
        <v>0.5</v>
      </c>
      <c r="U8" s="145"/>
      <c r="V8" s="204"/>
      <c r="Z8"/>
      <c r="AA8"/>
      <c r="AB8"/>
      <c r="AC8"/>
      <c r="AD8"/>
    </row>
    <row r="9" spans="1:30" s="8" customFormat="1" ht="13.8" x14ac:dyDescent="0.25">
      <c r="A9" s="1200"/>
      <c r="B9" s="18" t="s">
        <v>58</v>
      </c>
      <c r="E9" s="1002"/>
      <c r="F9" s="780"/>
      <c r="G9" s="802"/>
      <c r="H9" s="1002"/>
      <c r="I9" s="780"/>
      <c r="J9" s="802"/>
      <c r="K9" s="1002"/>
      <c r="L9" s="780"/>
      <c r="M9" s="802"/>
      <c r="N9" s="1002"/>
      <c r="O9" s="780"/>
      <c r="P9" s="802"/>
      <c r="Q9" s="1002"/>
      <c r="R9" s="780"/>
      <c r="S9" s="802"/>
      <c r="T9" s="1002"/>
      <c r="U9" s="780"/>
      <c r="V9" s="870"/>
      <c r="Z9"/>
      <c r="AA9"/>
      <c r="AB9"/>
      <c r="AC9"/>
      <c r="AD9"/>
    </row>
    <row r="10" spans="1:30" s="8" customFormat="1" ht="13.8" x14ac:dyDescent="0.25">
      <c r="A10" s="1200"/>
      <c r="B10" s="18" t="s">
        <v>59</v>
      </c>
      <c r="E10" s="1002"/>
      <c r="F10" s="780"/>
      <c r="G10" s="802"/>
      <c r="H10" s="1002"/>
      <c r="I10" s="780"/>
      <c r="J10" s="802"/>
      <c r="K10" s="1002"/>
      <c r="L10" s="780"/>
      <c r="M10" s="802"/>
      <c r="N10" s="1002"/>
      <c r="O10" s="780"/>
      <c r="P10" s="802"/>
      <c r="Q10" s="1002"/>
      <c r="R10" s="780"/>
      <c r="S10" s="802"/>
      <c r="T10" s="1002"/>
      <c r="U10" s="780"/>
      <c r="V10" s="870"/>
    </row>
    <row r="11" spans="1:30" s="8" customFormat="1" ht="13.8" x14ac:dyDescent="0.25">
      <c r="A11" s="1200"/>
      <c r="B11" s="18" t="s">
        <v>55</v>
      </c>
      <c r="E11" s="1002"/>
      <c r="F11" s="780"/>
      <c r="G11" s="802"/>
      <c r="H11" s="1002"/>
      <c r="I11" s="780"/>
      <c r="J11" s="802"/>
      <c r="K11" s="1002"/>
      <c r="L11" s="780"/>
      <c r="M11" s="802"/>
      <c r="N11" s="1002"/>
      <c r="O11" s="780"/>
      <c r="P11" s="802"/>
      <c r="Q11" s="1002"/>
      <c r="R11" s="780"/>
      <c r="S11" s="802"/>
      <c r="T11" s="1002"/>
      <c r="U11" s="780"/>
      <c r="V11" s="870"/>
    </row>
    <row r="12" spans="1:30" s="8" customFormat="1" ht="13.8" x14ac:dyDescent="0.25">
      <c r="A12" s="1200"/>
      <c r="B12" s="18" t="s">
        <v>56</v>
      </c>
      <c r="E12" s="788"/>
      <c r="F12" s="789">
        <v>0.5</v>
      </c>
      <c r="G12" s="146"/>
      <c r="H12" s="788"/>
      <c r="I12" s="789">
        <v>0.5</v>
      </c>
      <c r="J12" s="146"/>
      <c r="K12" s="788"/>
      <c r="L12" s="789">
        <v>0.5</v>
      </c>
      <c r="M12" s="146"/>
      <c r="N12" s="788"/>
      <c r="O12" s="789">
        <v>0.5</v>
      </c>
      <c r="P12" s="146"/>
      <c r="Q12" s="788"/>
      <c r="R12" s="789">
        <v>0.5</v>
      </c>
      <c r="S12" s="146"/>
      <c r="T12" s="788"/>
      <c r="U12" s="789">
        <v>0.5</v>
      </c>
      <c r="V12" s="204"/>
    </row>
    <row r="13" spans="1:30" s="8" customFormat="1" ht="13.8" x14ac:dyDescent="0.25">
      <c r="A13" s="1200"/>
      <c r="B13" s="18" t="s">
        <v>60</v>
      </c>
      <c r="E13" s="788"/>
      <c r="F13" s="145"/>
      <c r="G13" s="790">
        <v>1</v>
      </c>
      <c r="H13" s="788"/>
      <c r="I13" s="145"/>
      <c r="J13" s="790">
        <v>1</v>
      </c>
      <c r="K13" s="788"/>
      <c r="L13" s="145"/>
      <c r="M13" s="790">
        <v>1</v>
      </c>
      <c r="N13" s="788"/>
      <c r="O13" s="145"/>
      <c r="P13" s="790">
        <v>1</v>
      </c>
      <c r="Q13" s="788"/>
      <c r="R13" s="145"/>
      <c r="S13" s="790">
        <v>1</v>
      </c>
      <c r="T13" s="788"/>
      <c r="U13" s="145"/>
      <c r="V13" s="804">
        <v>1</v>
      </c>
    </row>
    <row r="14" spans="1:30" s="8" customFormat="1" ht="13.8" x14ac:dyDescent="0.25">
      <c r="A14" s="1200"/>
      <c r="B14" s="18" t="s">
        <v>61</v>
      </c>
      <c r="E14" s="788"/>
      <c r="F14" s="145"/>
      <c r="G14" s="790">
        <v>1</v>
      </c>
      <c r="H14" s="788"/>
      <c r="I14" s="145"/>
      <c r="J14" s="790">
        <v>1</v>
      </c>
      <c r="K14" s="788"/>
      <c r="L14" s="145"/>
      <c r="M14" s="790">
        <v>1</v>
      </c>
      <c r="N14" s="788"/>
      <c r="O14" s="145"/>
      <c r="P14" s="790">
        <v>1</v>
      </c>
      <c r="Q14" s="788"/>
      <c r="R14" s="145"/>
      <c r="S14" s="790">
        <v>1</v>
      </c>
      <c r="T14" s="788"/>
      <c r="U14" s="145"/>
      <c r="V14" s="804">
        <v>1</v>
      </c>
    </row>
    <row r="15" spans="1:30" s="8" customFormat="1" ht="13.8" x14ac:dyDescent="0.25">
      <c r="A15" s="1200"/>
      <c r="B15" s="18" t="s">
        <v>65</v>
      </c>
      <c r="E15" s="1002"/>
      <c r="F15" s="780"/>
      <c r="G15" s="802"/>
      <c r="H15" s="1002"/>
      <c r="I15" s="780"/>
      <c r="J15" s="802"/>
      <c r="K15" s="1002"/>
      <c r="L15" s="780"/>
      <c r="M15" s="802"/>
      <c r="N15" s="1002"/>
      <c r="O15" s="780"/>
      <c r="P15" s="802"/>
      <c r="Q15" s="1002"/>
      <c r="R15" s="780"/>
      <c r="S15" s="802"/>
      <c r="T15" s="1002"/>
      <c r="U15" s="780"/>
      <c r="V15" s="870"/>
    </row>
    <row r="16" spans="1:30" s="8" customFormat="1" ht="13.8" x14ac:dyDescent="0.25">
      <c r="A16" s="1200"/>
      <c r="B16" s="18" t="s">
        <v>66</v>
      </c>
      <c r="E16" s="1002"/>
      <c r="F16" s="780"/>
      <c r="G16" s="802"/>
      <c r="H16" s="1002"/>
      <c r="I16" s="780"/>
      <c r="J16" s="802"/>
      <c r="K16" s="1002"/>
      <c r="L16" s="780"/>
      <c r="M16" s="802"/>
      <c r="N16" s="1002"/>
      <c r="O16" s="780"/>
      <c r="P16" s="802"/>
      <c r="Q16" s="1002"/>
      <c r="R16" s="780"/>
      <c r="S16" s="802"/>
      <c r="T16" s="1002"/>
      <c r="U16" s="780"/>
      <c r="V16" s="870"/>
    </row>
    <row r="17" spans="1:25" s="8" customFormat="1" ht="13.8" x14ac:dyDescent="0.25">
      <c r="A17" s="1200"/>
      <c r="B17" s="18" t="s">
        <v>67</v>
      </c>
      <c r="E17" s="1002"/>
      <c r="F17" s="780"/>
      <c r="G17" s="802"/>
      <c r="H17" s="1002"/>
      <c r="I17" s="780"/>
      <c r="J17" s="802"/>
      <c r="K17" s="1002"/>
      <c r="L17" s="780"/>
      <c r="M17" s="802"/>
      <c r="N17" s="1002"/>
      <c r="O17" s="780"/>
      <c r="P17" s="802"/>
      <c r="Q17" s="1002"/>
      <c r="R17" s="780"/>
      <c r="S17" s="802"/>
      <c r="T17" s="1002"/>
      <c r="U17" s="780"/>
      <c r="V17" s="870"/>
    </row>
    <row r="18" spans="1:25" s="8" customFormat="1" ht="13.8" x14ac:dyDescent="0.25">
      <c r="A18" s="1200"/>
      <c r="B18" s="18" t="s">
        <v>62</v>
      </c>
      <c r="E18" s="1003"/>
      <c r="F18" s="780"/>
      <c r="G18" s="802"/>
      <c r="H18" s="1003"/>
      <c r="I18" s="780"/>
      <c r="J18" s="802"/>
      <c r="K18" s="1003"/>
      <c r="L18" s="780"/>
      <c r="M18" s="802"/>
      <c r="N18" s="1003"/>
      <c r="O18" s="780"/>
      <c r="P18" s="802"/>
      <c r="Q18" s="1003"/>
      <c r="R18" s="780"/>
      <c r="S18" s="802"/>
      <c r="T18" s="1003"/>
      <c r="U18" s="780"/>
      <c r="V18" s="870"/>
    </row>
    <row r="19" spans="1:25" s="8" customFormat="1" ht="13.8" x14ac:dyDescent="0.25">
      <c r="A19" s="1200"/>
      <c r="B19" s="18" t="s">
        <v>63</v>
      </c>
      <c r="E19" s="788"/>
      <c r="F19" s="145"/>
      <c r="G19" s="790">
        <v>1</v>
      </c>
      <c r="H19" s="788"/>
      <c r="I19" s="145"/>
      <c r="J19" s="790">
        <v>1</v>
      </c>
      <c r="K19" s="788"/>
      <c r="L19" s="145"/>
      <c r="M19" s="790">
        <v>1</v>
      </c>
      <c r="N19" s="788"/>
      <c r="O19" s="145"/>
      <c r="P19" s="790">
        <v>1</v>
      </c>
      <c r="Q19" s="788"/>
      <c r="R19" s="145"/>
      <c r="S19" s="790">
        <v>1</v>
      </c>
      <c r="T19" s="788"/>
      <c r="U19" s="145"/>
      <c r="V19" s="804">
        <v>1</v>
      </c>
    </row>
    <row r="20" spans="1:25" s="8" customFormat="1" x14ac:dyDescent="0.25">
      <c r="A20" s="1204"/>
      <c r="B20" s="1258" t="s">
        <v>64</v>
      </c>
      <c r="E20" s="1004"/>
      <c r="F20" s="792"/>
      <c r="G20" s="793"/>
      <c r="H20" s="1004"/>
      <c r="I20" s="792"/>
      <c r="J20" s="793"/>
      <c r="K20" s="1004"/>
      <c r="L20" s="792"/>
      <c r="M20" s="793"/>
      <c r="N20" s="1004"/>
      <c r="O20" s="792"/>
      <c r="P20" s="793"/>
      <c r="Q20" s="1004"/>
      <c r="R20" s="792"/>
      <c r="S20" s="793"/>
      <c r="T20" s="1004"/>
      <c r="U20" s="792"/>
      <c r="V20" s="794"/>
    </row>
    <row r="21" spans="1:25" s="8" customFormat="1" ht="14.25" customHeight="1" x14ac:dyDescent="0.25">
      <c r="A21" s="1204"/>
      <c r="B21" s="1259"/>
      <c r="E21" s="1004"/>
      <c r="F21" s="792"/>
      <c r="G21" s="793"/>
      <c r="H21" s="1004"/>
      <c r="I21" s="792"/>
      <c r="J21" s="793"/>
      <c r="K21" s="1004"/>
      <c r="L21" s="792"/>
      <c r="M21" s="793"/>
      <c r="N21" s="1004"/>
      <c r="O21" s="792"/>
      <c r="P21" s="793"/>
      <c r="Q21" s="1004"/>
      <c r="R21" s="792"/>
      <c r="S21" s="793"/>
      <c r="T21" s="1004"/>
      <c r="U21" s="792"/>
      <c r="V21" s="794"/>
    </row>
    <row r="22" spans="1:25" s="8" customFormat="1" ht="13.8" thickBot="1" x14ac:dyDescent="0.3">
      <c r="A22" s="1201"/>
      <c r="B22" s="1260"/>
      <c r="E22" s="796"/>
      <c r="F22" s="797"/>
      <c r="G22" s="798"/>
      <c r="H22" s="796"/>
      <c r="I22" s="797"/>
      <c r="J22" s="798"/>
      <c r="K22" s="796"/>
      <c r="L22" s="797"/>
      <c r="M22" s="798"/>
      <c r="N22" s="796"/>
      <c r="O22" s="797"/>
      <c r="P22" s="798"/>
      <c r="Q22" s="796"/>
      <c r="R22" s="797"/>
      <c r="S22" s="798"/>
      <c r="T22" s="796"/>
      <c r="U22" s="797"/>
      <c r="V22" s="799"/>
    </row>
    <row r="23" spans="1:25" s="1" customFormat="1" ht="13.8" x14ac:dyDescent="0.25">
      <c r="A23" s="1198" t="s">
        <v>27</v>
      </c>
      <c r="B23" s="14" t="s">
        <v>16</v>
      </c>
      <c r="E23" s="867">
        <v>0.19</v>
      </c>
      <c r="F23" s="716"/>
      <c r="G23" s="717"/>
      <c r="H23" s="867">
        <v>0.19</v>
      </c>
      <c r="I23" s="716"/>
      <c r="J23" s="717"/>
      <c r="K23" s="867">
        <v>0.19</v>
      </c>
      <c r="L23" s="716"/>
      <c r="M23" s="717"/>
      <c r="N23" s="867">
        <v>0.19</v>
      </c>
      <c r="O23" s="716"/>
      <c r="P23" s="717"/>
      <c r="Q23" s="867">
        <v>0.19</v>
      </c>
      <c r="R23" s="716"/>
      <c r="S23" s="717"/>
      <c r="T23" s="867">
        <v>0.19</v>
      </c>
      <c r="U23" s="716"/>
      <c r="V23" s="717"/>
    </row>
    <row r="24" spans="1:25" ht="13.8" thickBot="1" x14ac:dyDescent="0.3">
      <c r="A24" s="1201"/>
      <c r="B24" s="51" t="s">
        <v>41</v>
      </c>
      <c r="E24" s="868"/>
      <c r="F24" s="1080">
        <v>0.28610000000000002</v>
      </c>
      <c r="G24" s="1080">
        <v>0.28610000000000002</v>
      </c>
      <c r="H24" s="868"/>
      <c r="I24" s="1080">
        <v>0.28610000000000002</v>
      </c>
      <c r="J24" s="1080">
        <v>0.28610000000000002</v>
      </c>
      <c r="K24" s="868"/>
      <c r="L24" s="1080">
        <v>0.28610000000000002</v>
      </c>
      <c r="M24" s="1080">
        <v>0.28610000000000002</v>
      </c>
      <c r="N24" s="868"/>
      <c r="O24" s="1080">
        <v>0.28610000000000002</v>
      </c>
      <c r="P24" s="1080">
        <v>0.28610000000000002</v>
      </c>
      <c r="Q24" s="868"/>
      <c r="R24" s="1080">
        <v>0.28610000000000002</v>
      </c>
      <c r="S24" s="1080">
        <v>0.28610000000000002</v>
      </c>
      <c r="T24" s="868"/>
      <c r="U24" s="1080">
        <v>0.28610000000000002</v>
      </c>
      <c r="V24" s="1080">
        <v>0.28610000000000002</v>
      </c>
    </row>
    <row r="25" spans="1:25" x14ac:dyDescent="0.25">
      <c r="A25" s="1198" t="s">
        <v>26</v>
      </c>
      <c r="B25" s="57" t="s">
        <v>31</v>
      </c>
      <c r="E25" s="888">
        <v>0.09</v>
      </c>
      <c r="F25" s="159"/>
      <c r="G25" s="718"/>
      <c r="H25" s="888">
        <v>0.09</v>
      </c>
      <c r="I25" s="159"/>
      <c r="J25" s="718"/>
      <c r="K25" s="888">
        <v>0.09</v>
      </c>
      <c r="L25" s="159"/>
      <c r="M25" s="718"/>
      <c r="N25" s="888">
        <v>0.09</v>
      </c>
      <c r="O25" s="159"/>
      <c r="P25" s="718"/>
      <c r="Q25" s="888">
        <v>0.09</v>
      </c>
      <c r="R25" s="159"/>
      <c r="S25" s="718"/>
      <c r="T25" s="888">
        <v>0.25</v>
      </c>
      <c r="U25" s="159"/>
      <c r="V25" s="160"/>
      <c r="W25" s="758">
        <f>+(T25-Q25)/0.09</f>
        <v>1.7777777777777779</v>
      </c>
      <c r="X25" s="758"/>
      <c r="Y25" s="758"/>
    </row>
    <row r="26" spans="1:25" x14ac:dyDescent="0.25">
      <c r="A26" s="1200"/>
      <c r="B26" s="53" t="s">
        <v>38</v>
      </c>
      <c r="E26" s="207"/>
      <c r="F26" s="889">
        <v>0.09</v>
      </c>
      <c r="G26" s="719"/>
      <c r="H26" s="207"/>
      <c r="I26" s="889">
        <v>0.09</v>
      </c>
      <c r="J26" s="719"/>
      <c r="K26" s="207"/>
      <c r="L26" s="889">
        <v>0.09</v>
      </c>
      <c r="M26" s="719"/>
      <c r="N26" s="207"/>
      <c r="O26" s="889">
        <v>0.09</v>
      </c>
      <c r="P26" s="719"/>
      <c r="Q26" s="207"/>
      <c r="R26" s="889">
        <v>0.09</v>
      </c>
      <c r="S26" s="719"/>
      <c r="T26" s="207"/>
      <c r="U26" s="889">
        <v>0.11700000000000001</v>
      </c>
      <c r="V26" s="162"/>
      <c r="W26" s="758">
        <f>+(U26-R26)/0.09</f>
        <v>0.3000000000000001</v>
      </c>
      <c r="X26" s="758"/>
      <c r="Y26" s="758"/>
    </row>
    <row r="27" spans="1:25" x14ac:dyDescent="0.25">
      <c r="A27" s="1200"/>
      <c r="B27" s="53" t="s">
        <v>39</v>
      </c>
      <c r="E27" s="207"/>
      <c r="F27" s="889">
        <v>1.1579999999999999</v>
      </c>
      <c r="G27" s="719"/>
      <c r="H27" s="207"/>
      <c r="I27" s="889">
        <v>1.1579999999999999</v>
      </c>
      <c r="J27" s="719"/>
      <c r="K27" s="207"/>
      <c r="L27" s="889">
        <v>1.1579999999999999</v>
      </c>
      <c r="M27" s="719"/>
      <c r="N27" s="207"/>
      <c r="O27" s="889">
        <v>1.1579999999999999</v>
      </c>
      <c r="P27" s="719"/>
      <c r="Q27" s="207"/>
      <c r="R27" s="889">
        <v>1.1579999999999999</v>
      </c>
      <c r="S27" s="719"/>
      <c r="T27" s="207"/>
      <c r="U27" s="889">
        <v>0.158</v>
      </c>
      <c r="V27" s="162"/>
    </row>
    <row r="28" spans="1:25" s="1" customFormat="1" ht="13.8" thickBot="1" x14ac:dyDescent="0.3">
      <c r="A28" s="1201"/>
      <c r="B28" s="51" t="s">
        <v>40</v>
      </c>
      <c r="E28" s="208"/>
      <c r="F28" s="163"/>
      <c r="G28" s="890">
        <v>0.26200000000000001</v>
      </c>
      <c r="H28" s="208"/>
      <c r="I28" s="163"/>
      <c r="J28" s="890">
        <v>0.26200000000000001</v>
      </c>
      <c r="K28" s="208"/>
      <c r="L28" s="163"/>
      <c r="M28" s="890">
        <v>0.26200000000000001</v>
      </c>
      <c r="N28" s="208"/>
      <c r="O28" s="163"/>
      <c r="P28" s="890">
        <v>0.26200000000000001</v>
      </c>
      <c r="Q28" s="208"/>
      <c r="R28" s="163"/>
      <c r="S28" s="890">
        <v>0.26200000000000001</v>
      </c>
      <c r="T28" s="208"/>
      <c r="U28" s="163"/>
      <c r="V28" s="891">
        <v>0.26200000000000001</v>
      </c>
    </row>
    <row r="29" spans="1:25" s="1" customFormat="1" ht="52.8" x14ac:dyDescent="0.25">
      <c r="A29" s="1198" t="s">
        <v>28</v>
      </c>
      <c r="B29" s="14" t="s">
        <v>31</v>
      </c>
      <c r="C29" s="973" t="s">
        <v>229</v>
      </c>
      <c r="D29" s="1034"/>
      <c r="E29" s="960">
        <v>0.47099999999999997</v>
      </c>
      <c r="F29" s="166"/>
      <c r="G29" s="720"/>
      <c r="H29" s="960">
        <v>0.47099999999999997</v>
      </c>
      <c r="I29" s="166"/>
      <c r="J29" s="720"/>
      <c r="K29" s="960">
        <v>0.47099999999999997</v>
      </c>
      <c r="L29" s="166"/>
      <c r="M29" s="720"/>
      <c r="N29" s="960">
        <v>0.47099999999999997</v>
      </c>
      <c r="O29" s="166"/>
      <c r="P29" s="720"/>
      <c r="Q29" s="960">
        <v>0.47099999999999997</v>
      </c>
      <c r="R29" s="166"/>
      <c r="S29" s="720"/>
      <c r="T29" s="960">
        <v>0.47099999999999997</v>
      </c>
      <c r="U29" s="166"/>
      <c r="V29" s="167"/>
    </row>
    <row r="30" spans="1:25" s="7" customFormat="1" x14ac:dyDescent="0.25">
      <c r="A30" s="1200"/>
      <c r="B30" s="53" t="s">
        <v>32</v>
      </c>
      <c r="C30" s="974" t="s">
        <v>231</v>
      </c>
      <c r="D30" s="1035"/>
      <c r="E30" s="961"/>
      <c r="F30" s="168"/>
      <c r="G30" s="721"/>
      <c r="H30" s="961"/>
      <c r="I30" s="168"/>
      <c r="J30" s="721"/>
      <c r="K30" s="961"/>
      <c r="L30" s="168"/>
      <c r="M30" s="721"/>
      <c r="N30" s="961"/>
      <c r="O30" s="168"/>
      <c r="P30" s="721"/>
      <c r="Q30" s="961"/>
      <c r="R30" s="168"/>
      <c r="S30" s="721"/>
      <c r="T30" s="961"/>
      <c r="U30" s="168"/>
      <c r="V30" s="169"/>
    </row>
    <row r="31" spans="1:25" s="7" customFormat="1" ht="66.599999999999994" thickBot="1" x14ac:dyDescent="0.3">
      <c r="A31" s="1200"/>
      <c r="B31" s="53" t="s">
        <v>33</v>
      </c>
      <c r="C31" s="974" t="s">
        <v>230</v>
      </c>
      <c r="D31" s="1035"/>
      <c r="E31" s="210"/>
      <c r="F31" s="959">
        <v>0.47099999999999997</v>
      </c>
      <c r="G31" s="721"/>
      <c r="H31" s="210"/>
      <c r="I31" s="959">
        <v>0.47099999999999997</v>
      </c>
      <c r="J31" s="721"/>
      <c r="K31" s="210"/>
      <c r="L31" s="959">
        <v>0.47099999999999997</v>
      </c>
      <c r="M31" s="721"/>
      <c r="N31" s="210"/>
      <c r="O31" s="959">
        <v>0.47099999999999997</v>
      </c>
      <c r="P31" s="721"/>
      <c r="Q31" s="210"/>
      <c r="R31" s="959">
        <v>0.47099999999999997</v>
      </c>
      <c r="S31" s="721"/>
      <c r="T31" s="210"/>
      <c r="U31" s="959">
        <v>0.47099999999999997</v>
      </c>
      <c r="V31" s="169"/>
    </row>
    <row r="32" spans="1:25" ht="13.8" thickBot="1" x14ac:dyDescent="0.3">
      <c r="A32" s="1201"/>
      <c r="B32" s="51" t="s">
        <v>15</v>
      </c>
      <c r="C32" s="975"/>
      <c r="D32" s="1036"/>
      <c r="E32" s="211"/>
      <c r="F32" s="171"/>
      <c r="G32" s="971">
        <v>1</v>
      </c>
      <c r="H32" s="211"/>
      <c r="I32" s="171"/>
      <c r="J32" s="971">
        <v>1</v>
      </c>
      <c r="K32" s="211"/>
      <c r="L32" s="171"/>
      <c r="M32" s="971">
        <v>1</v>
      </c>
      <c r="N32" s="211"/>
      <c r="O32" s="171"/>
      <c r="P32" s="971">
        <v>1</v>
      </c>
      <c r="Q32" s="211"/>
      <c r="R32" s="171"/>
      <c r="S32" s="971">
        <v>1</v>
      </c>
      <c r="T32" s="211"/>
      <c r="U32" s="171"/>
      <c r="V32" s="978">
        <v>1</v>
      </c>
    </row>
    <row r="33" spans="1:25" s="1" customFormat="1" ht="13.8" x14ac:dyDescent="0.25">
      <c r="A33" s="1198" t="s">
        <v>29</v>
      </c>
      <c r="B33" s="14" t="s">
        <v>42</v>
      </c>
      <c r="C33" s="1264" t="s">
        <v>255</v>
      </c>
      <c r="D33" s="1037"/>
      <c r="E33" s="962">
        <v>0.12</v>
      </c>
      <c r="F33" s="963"/>
      <c r="G33" s="1040"/>
      <c r="H33" s="962">
        <v>0.13</v>
      </c>
      <c r="I33" s="963"/>
      <c r="J33" s="1040"/>
      <c r="K33" s="962">
        <v>0.14000000000000001</v>
      </c>
      <c r="L33" s="963"/>
      <c r="M33" s="1040"/>
      <c r="N33" s="962">
        <v>0.15</v>
      </c>
      <c r="O33" s="963"/>
      <c r="P33" s="1040"/>
      <c r="Q33" s="962">
        <v>0.16</v>
      </c>
      <c r="R33" s="963"/>
      <c r="S33" s="1040"/>
      <c r="T33" s="962">
        <v>0.17</v>
      </c>
      <c r="U33" s="963"/>
      <c r="V33" s="1040"/>
      <c r="W33" s="757">
        <f>+(T33-Q33)/0.16</f>
        <v>6.2500000000000056E-2</v>
      </c>
      <c r="X33" s="757"/>
      <c r="Y33" s="757"/>
    </row>
    <row r="34" spans="1:25" s="1" customFormat="1" ht="13.8" x14ac:dyDescent="0.25">
      <c r="A34" s="1200"/>
      <c r="B34" s="18" t="s">
        <v>43</v>
      </c>
      <c r="C34" s="1265"/>
      <c r="D34" s="1038"/>
      <c r="E34" s="965"/>
      <c r="F34" s="966">
        <v>0.12</v>
      </c>
      <c r="G34" s="1041"/>
      <c r="H34" s="965"/>
      <c r="I34" s="966">
        <v>0.13</v>
      </c>
      <c r="J34" s="1041"/>
      <c r="K34" s="965"/>
      <c r="L34" s="966">
        <v>0.14000000000000001</v>
      </c>
      <c r="M34" s="1041"/>
      <c r="N34" s="965"/>
      <c r="O34" s="966">
        <v>0.15</v>
      </c>
      <c r="P34" s="1041"/>
      <c r="Q34" s="965"/>
      <c r="R34" s="966">
        <v>0.16</v>
      </c>
      <c r="S34" s="1041"/>
      <c r="T34" s="965"/>
      <c r="U34" s="966">
        <v>0.17</v>
      </c>
      <c r="V34" s="1041"/>
      <c r="W34" s="757">
        <f>+(U34-R34)/R34</f>
        <v>6.2500000000000056E-2</v>
      </c>
      <c r="X34" s="757"/>
      <c r="Y34" s="757"/>
    </row>
    <row r="35" spans="1:25" s="1" customFormat="1" ht="13.8" x14ac:dyDescent="0.25">
      <c r="A35" s="1200"/>
      <c r="B35" s="18" t="s">
        <v>44</v>
      </c>
      <c r="C35" s="1265" t="s">
        <v>256</v>
      </c>
      <c r="D35" s="1039"/>
      <c r="E35" s="965">
        <v>0.12</v>
      </c>
      <c r="F35" s="966"/>
      <c r="G35" s="1041"/>
      <c r="H35" s="965">
        <v>0.12</v>
      </c>
      <c r="I35" s="966"/>
      <c r="J35" s="1041"/>
      <c r="K35" s="965">
        <v>0.12</v>
      </c>
      <c r="L35" s="966"/>
      <c r="M35" s="1041"/>
      <c r="N35" s="965">
        <v>0.12</v>
      </c>
      <c r="O35" s="966"/>
      <c r="P35" s="1041"/>
      <c r="Q35" s="965">
        <v>0.12</v>
      </c>
      <c r="R35" s="966"/>
      <c r="S35" s="1041"/>
      <c r="T35" s="965">
        <v>0.13</v>
      </c>
      <c r="U35" s="966"/>
      <c r="V35" s="1041"/>
      <c r="W35" s="757">
        <f>+(T35-Q35)/0.16</f>
        <v>6.2500000000000056E-2</v>
      </c>
      <c r="X35" s="757"/>
      <c r="Y35" s="757"/>
    </row>
    <row r="36" spans="1:25" s="1" customFormat="1" ht="13.8" x14ac:dyDescent="0.25">
      <c r="A36" s="1200"/>
      <c r="B36" s="18" t="s">
        <v>52</v>
      </c>
      <c r="C36" s="1265"/>
      <c r="D36" s="1038"/>
      <c r="E36" s="965"/>
      <c r="F36" s="966">
        <v>0.12</v>
      </c>
      <c r="G36" s="1041"/>
      <c r="H36" s="965"/>
      <c r="I36" s="966">
        <v>0.12</v>
      </c>
      <c r="J36" s="1041"/>
      <c r="K36" s="965"/>
      <c r="L36" s="966">
        <v>0.12</v>
      </c>
      <c r="M36" s="1041"/>
      <c r="N36" s="965"/>
      <c r="O36" s="966">
        <v>0.12</v>
      </c>
      <c r="P36" s="1041"/>
      <c r="Q36" s="965"/>
      <c r="R36" s="966">
        <v>0.12</v>
      </c>
      <c r="S36" s="1041"/>
      <c r="T36" s="965"/>
      <c r="U36" s="966">
        <v>0.13</v>
      </c>
      <c r="V36" s="1041"/>
      <c r="W36" s="757">
        <f>+(U36-R36)/R36</f>
        <v>8.3333333333333412E-2</v>
      </c>
      <c r="X36" s="757"/>
      <c r="Y36" s="757"/>
    </row>
    <row r="37" spans="1:25" s="1" customFormat="1" ht="13.8" x14ac:dyDescent="0.25">
      <c r="A37" s="1200"/>
      <c r="B37" s="18" t="s">
        <v>45</v>
      </c>
      <c r="C37" s="1265" t="s">
        <v>257</v>
      </c>
      <c r="D37" s="1038" t="s">
        <v>31</v>
      </c>
      <c r="E37" s="965"/>
      <c r="F37" s="966"/>
      <c r="G37" s="1041">
        <v>0.24</v>
      </c>
      <c r="H37" s="965"/>
      <c r="I37" s="966"/>
      <c r="J37" s="1041">
        <v>0.26</v>
      </c>
      <c r="K37" s="965"/>
      <c r="L37" s="966"/>
      <c r="M37" s="1041">
        <v>0.28000000000000003</v>
      </c>
      <c r="N37" s="965"/>
      <c r="O37" s="966"/>
      <c r="P37" s="1041">
        <v>0.3</v>
      </c>
      <c r="Q37" s="965"/>
      <c r="R37" s="966"/>
      <c r="S37" s="1041">
        <v>0.32</v>
      </c>
      <c r="T37" s="965"/>
      <c r="U37" s="966"/>
      <c r="V37" s="1041">
        <v>0.34</v>
      </c>
      <c r="W37" s="757">
        <f>+(V37-S37)/S37</f>
        <v>6.2500000000000056E-2</v>
      </c>
      <c r="X37" s="757"/>
      <c r="Y37" s="757"/>
    </row>
    <row r="38" spans="1:25" s="1" customFormat="1" ht="13.8" x14ac:dyDescent="0.25">
      <c r="A38" s="1200"/>
      <c r="B38" s="18" t="s">
        <v>46</v>
      </c>
      <c r="C38" s="1265"/>
      <c r="D38" s="1038" t="s">
        <v>33</v>
      </c>
      <c r="E38" s="965"/>
      <c r="F38" s="966"/>
      <c r="G38" s="1041">
        <v>0.24</v>
      </c>
      <c r="H38" s="965"/>
      <c r="I38" s="966"/>
      <c r="J38" s="1041">
        <v>0.26</v>
      </c>
      <c r="K38" s="965"/>
      <c r="L38" s="966"/>
      <c r="M38" s="1041">
        <v>0.28000000000000003</v>
      </c>
      <c r="N38" s="965"/>
      <c r="O38" s="966"/>
      <c r="P38" s="1041">
        <v>0.3</v>
      </c>
      <c r="Q38" s="965"/>
      <c r="R38" s="966"/>
      <c r="S38" s="1041">
        <v>0.32</v>
      </c>
      <c r="T38" s="965"/>
      <c r="U38" s="966"/>
      <c r="V38" s="1041">
        <v>0.34</v>
      </c>
      <c r="W38" s="757">
        <f t="shared" ref="W38:W40" si="0">+(V38-S38)/S38</f>
        <v>6.2500000000000056E-2</v>
      </c>
      <c r="X38" s="757"/>
      <c r="Y38" s="757"/>
    </row>
    <row r="39" spans="1:25" s="1" customFormat="1" ht="13.8" x14ac:dyDescent="0.25">
      <c r="A39" s="1200"/>
      <c r="B39" s="18" t="s">
        <v>47</v>
      </c>
      <c r="C39" s="1265" t="s">
        <v>258</v>
      </c>
      <c r="D39" s="1038" t="s">
        <v>31</v>
      </c>
      <c r="E39" s="965"/>
      <c r="F39" s="966"/>
      <c r="G39" s="1041">
        <v>0.24</v>
      </c>
      <c r="H39" s="965"/>
      <c r="I39" s="966"/>
      <c r="J39" s="1041">
        <v>0.24</v>
      </c>
      <c r="K39" s="965"/>
      <c r="L39" s="966"/>
      <c r="M39" s="1041">
        <v>0.24</v>
      </c>
      <c r="N39" s="965"/>
      <c r="O39" s="966"/>
      <c r="P39" s="1041">
        <v>0.24</v>
      </c>
      <c r="Q39" s="965"/>
      <c r="R39" s="966"/>
      <c r="S39" s="1041">
        <v>0.24</v>
      </c>
      <c r="T39" s="965"/>
      <c r="U39" s="966"/>
      <c r="V39" s="1041">
        <v>0.26</v>
      </c>
      <c r="W39" s="757">
        <f t="shared" si="0"/>
        <v>8.3333333333333412E-2</v>
      </c>
      <c r="X39" s="757"/>
      <c r="Y39" s="757"/>
    </row>
    <row r="40" spans="1:25" s="1" customFormat="1" ht="13.8" x14ac:dyDescent="0.25">
      <c r="A40" s="1200"/>
      <c r="B40" s="18" t="s">
        <v>48</v>
      </c>
      <c r="C40" s="1265"/>
      <c r="D40" s="1038" t="s">
        <v>33</v>
      </c>
      <c r="E40" s="965"/>
      <c r="F40" s="966"/>
      <c r="G40" s="1041">
        <v>0.24</v>
      </c>
      <c r="H40" s="965"/>
      <c r="I40" s="966"/>
      <c r="J40" s="1041">
        <v>0.24</v>
      </c>
      <c r="K40" s="965"/>
      <c r="L40" s="966"/>
      <c r="M40" s="1041">
        <v>0.24</v>
      </c>
      <c r="N40" s="965"/>
      <c r="O40" s="966"/>
      <c r="P40" s="1041">
        <v>0.24</v>
      </c>
      <c r="Q40" s="965"/>
      <c r="R40" s="966"/>
      <c r="S40" s="1041">
        <v>0.24</v>
      </c>
      <c r="T40" s="965"/>
      <c r="U40" s="966"/>
      <c r="V40" s="1041">
        <v>0.26</v>
      </c>
      <c r="W40" s="757">
        <f t="shared" si="0"/>
        <v>8.3333333333333412E-2</v>
      </c>
      <c r="X40" s="757"/>
      <c r="Y40" s="757"/>
    </row>
    <row r="41" spans="1:25" s="1" customFormat="1" ht="13.8" x14ac:dyDescent="0.25">
      <c r="A41" s="1200"/>
      <c r="B41" s="18" t="s">
        <v>49</v>
      </c>
      <c r="E41" s="965"/>
      <c r="F41" s="966"/>
      <c r="G41" s="1041"/>
      <c r="H41" s="965"/>
      <c r="I41" s="966"/>
      <c r="J41" s="1041"/>
      <c r="K41" s="965"/>
      <c r="L41" s="966"/>
      <c r="M41" s="1041"/>
      <c r="N41" s="965"/>
      <c r="O41" s="966"/>
      <c r="P41" s="1041"/>
      <c r="Q41" s="965"/>
      <c r="R41" s="966"/>
      <c r="S41" s="1041"/>
      <c r="T41" s="965"/>
      <c r="U41" s="966"/>
      <c r="V41" s="1041"/>
    </row>
    <row r="42" spans="1:25" s="1" customFormat="1" ht="13.8" x14ac:dyDescent="0.25">
      <c r="A42" s="1200"/>
      <c r="B42" s="18" t="s">
        <v>50</v>
      </c>
      <c r="E42" s="965"/>
      <c r="F42" s="966"/>
      <c r="G42" s="1041"/>
      <c r="H42" s="965"/>
      <c r="I42" s="966"/>
      <c r="J42" s="1041"/>
      <c r="K42" s="965"/>
      <c r="L42" s="966"/>
      <c r="M42" s="1041"/>
      <c r="N42" s="965"/>
      <c r="O42" s="966"/>
      <c r="P42" s="1041"/>
      <c r="Q42" s="965"/>
      <c r="R42" s="966"/>
      <c r="S42" s="1041"/>
      <c r="T42" s="965"/>
      <c r="U42" s="966"/>
      <c r="V42" s="1041"/>
    </row>
    <row r="43" spans="1:25" ht="14.4" thickBot="1" x14ac:dyDescent="0.3">
      <c r="A43" s="1201"/>
      <c r="B43" s="21" t="s">
        <v>51</v>
      </c>
      <c r="E43" s="968"/>
      <c r="F43" s="969"/>
      <c r="G43" s="1042"/>
      <c r="H43" s="968"/>
      <c r="I43" s="969"/>
      <c r="J43" s="1042"/>
      <c r="K43" s="345"/>
      <c r="L43" s="343"/>
      <c r="M43" s="344"/>
      <c r="N43" s="345"/>
      <c r="O43" s="343"/>
      <c r="P43" s="344"/>
      <c r="Q43" s="345"/>
      <c r="R43" s="343"/>
      <c r="S43" s="344"/>
      <c r="T43" s="345"/>
      <c r="U43" s="343"/>
      <c r="V43" s="346"/>
    </row>
    <row r="44" spans="1:25" ht="24.9" customHeight="1" x14ac:dyDescent="0.25"/>
    <row r="45" spans="1:25" ht="27.75" customHeight="1" x14ac:dyDescent="0.25"/>
    <row r="46" spans="1:25" ht="27.6" customHeight="1" x14ac:dyDescent="0.25"/>
    <row r="47" spans="1:25" ht="24.9" customHeight="1" x14ac:dyDescent="0.25"/>
    <row r="48" spans="1:25"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sheetData>
  <mergeCells count="23">
    <mergeCell ref="A1:B1"/>
    <mergeCell ref="C39:C40"/>
    <mergeCell ref="A2:B2"/>
    <mergeCell ref="C2:C5"/>
    <mergeCell ref="C33:C34"/>
    <mergeCell ref="C35:C36"/>
    <mergeCell ref="C37:C38"/>
    <mergeCell ref="X3:Y3"/>
    <mergeCell ref="AA1:AB1"/>
    <mergeCell ref="AC1:AD1"/>
    <mergeCell ref="A29:A32"/>
    <mergeCell ref="A33:A43"/>
    <mergeCell ref="A6:A22"/>
    <mergeCell ref="B20:B22"/>
    <mergeCell ref="A23:A24"/>
    <mergeCell ref="A25:A28"/>
    <mergeCell ref="A3:A5"/>
    <mergeCell ref="E2:G2"/>
    <mergeCell ref="H2:J2"/>
    <mergeCell ref="K2:M2"/>
    <mergeCell ref="N2:P2"/>
    <mergeCell ref="Q2:S2"/>
    <mergeCell ref="T2:V2"/>
  </mergeCells>
  <pageMargins left="0" right="0" top="0" bottom="0" header="0" footer="0"/>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E665-1F9D-481B-93F1-A78774181B00}">
  <sheetPr>
    <pageSetUpPr fitToPage="1"/>
  </sheetPr>
  <dimension ref="A1:AD394"/>
  <sheetViews>
    <sheetView showZeros="0" zoomScale="70" zoomScaleNormal="70" workbookViewId="0">
      <pane xSplit="2" ySplit="3" topLeftCell="I4" activePane="bottomRight" state="frozen"/>
      <selection pane="topRight" activeCell="C1" sqref="C1"/>
      <selection pane="bottomLeft" activeCell="A4" sqref="A4"/>
      <selection pane="bottomRight" activeCell="X4" sqref="X4"/>
    </sheetView>
  </sheetViews>
  <sheetFormatPr baseColWidth="10" defaultColWidth="11.44140625" defaultRowHeight="13.2" x14ac:dyDescent="0.25"/>
  <cols>
    <col min="1" max="1" width="6.5546875" style="3" customWidth="1"/>
    <col min="2" max="2" width="16.6640625" style="13" customWidth="1"/>
    <col min="3" max="3" width="34.109375" style="3" customWidth="1"/>
    <col min="4" max="4" width="5.21875" style="3" customWidth="1"/>
    <col min="5" max="22" width="11.44140625" style="3"/>
    <col min="23" max="25" width="14.88671875" style="3" customWidth="1"/>
    <col min="26" max="26" width="18.88671875" style="3" customWidth="1"/>
    <col min="27" max="16384" width="11.44140625" style="3"/>
  </cols>
  <sheetData>
    <row r="1" spans="1:30" ht="28.2" customHeight="1" thickBot="1" x14ac:dyDescent="0.3">
      <c r="A1" s="1250" t="s">
        <v>153</v>
      </c>
      <c r="B1" s="1250"/>
      <c r="E1" s="94"/>
      <c r="U1" s="1157" t="s">
        <v>272</v>
      </c>
      <c r="Z1" s="1086" t="s">
        <v>270</v>
      </c>
      <c r="AA1" s="1228" t="s">
        <v>260</v>
      </c>
      <c r="AB1" s="1229"/>
      <c r="AC1" s="1228" t="s">
        <v>261</v>
      </c>
      <c r="AD1" s="1229"/>
    </row>
    <row r="2" spans="1:30" s="1" customFormat="1" ht="24.9" customHeight="1" thickBot="1" x14ac:dyDescent="0.3">
      <c r="A2" s="1256"/>
      <c r="B2" s="1257"/>
      <c r="C2" s="1266" t="s">
        <v>217</v>
      </c>
      <c r="D2" s="1033"/>
      <c r="E2" s="1248">
        <v>2019</v>
      </c>
      <c r="F2" s="1247"/>
      <c r="G2" s="1247"/>
      <c r="H2" s="1248">
        <v>2020</v>
      </c>
      <c r="I2" s="1247"/>
      <c r="J2" s="1249"/>
      <c r="K2" s="1247">
        <v>2021</v>
      </c>
      <c r="L2" s="1247"/>
      <c r="M2" s="1247"/>
      <c r="N2" s="1248">
        <v>2022</v>
      </c>
      <c r="O2" s="1247"/>
      <c r="P2" s="1249"/>
      <c r="Q2" s="1247">
        <v>2023</v>
      </c>
      <c r="R2" s="1247"/>
      <c r="S2" s="1247"/>
      <c r="T2" s="1248">
        <v>2024</v>
      </c>
      <c r="U2" s="1247"/>
      <c r="V2" s="1249"/>
      <c r="Z2" s="1087" t="s">
        <v>271</v>
      </c>
      <c r="AA2" s="1083" t="s">
        <v>262</v>
      </c>
      <c r="AB2" s="1083" t="s">
        <v>263</v>
      </c>
      <c r="AC2" s="1083" t="s">
        <v>262</v>
      </c>
      <c r="AD2" s="1083" t="s">
        <v>263</v>
      </c>
    </row>
    <row r="3" spans="1:30" s="1" customFormat="1" ht="24.9" customHeight="1" thickBot="1" x14ac:dyDescent="0.3">
      <c r="A3" s="1188" t="s">
        <v>23</v>
      </c>
      <c r="B3" s="100"/>
      <c r="C3" s="1266"/>
      <c r="D3" s="1033"/>
      <c r="E3" s="733" t="s">
        <v>31</v>
      </c>
      <c r="F3" s="734" t="s">
        <v>33</v>
      </c>
      <c r="G3" s="735" t="s">
        <v>15</v>
      </c>
      <c r="H3" s="733" t="s">
        <v>31</v>
      </c>
      <c r="I3" s="734" t="s">
        <v>33</v>
      </c>
      <c r="J3" s="736" t="s">
        <v>15</v>
      </c>
      <c r="K3" s="737" t="s">
        <v>31</v>
      </c>
      <c r="L3" s="734" t="s">
        <v>33</v>
      </c>
      <c r="M3" s="735" t="s">
        <v>15</v>
      </c>
      <c r="N3" s="733" t="s">
        <v>31</v>
      </c>
      <c r="O3" s="734" t="s">
        <v>33</v>
      </c>
      <c r="P3" s="736" t="s">
        <v>15</v>
      </c>
      <c r="Q3" s="737" t="s">
        <v>31</v>
      </c>
      <c r="R3" s="734" t="s">
        <v>33</v>
      </c>
      <c r="S3" s="735" t="s">
        <v>15</v>
      </c>
      <c r="T3" s="733" t="s">
        <v>31</v>
      </c>
      <c r="U3" s="734" t="s">
        <v>33</v>
      </c>
      <c r="V3" s="736" t="s">
        <v>15</v>
      </c>
      <c r="W3" s="1" t="s">
        <v>274</v>
      </c>
      <c r="X3" s="1267" t="s">
        <v>275</v>
      </c>
      <c r="Y3" s="1268"/>
      <c r="Z3" s="1084" t="s">
        <v>264</v>
      </c>
      <c r="AA3" s="1085">
        <v>0</v>
      </c>
      <c r="AB3" s="1085">
        <v>5.04</v>
      </c>
      <c r="AC3" s="1085">
        <v>0</v>
      </c>
      <c r="AD3" s="1085">
        <v>10.08</v>
      </c>
    </row>
    <row r="4" spans="1:30" s="1" customFormat="1" ht="13.8" x14ac:dyDescent="0.25">
      <c r="A4" s="1190"/>
      <c r="B4" s="14" t="s">
        <v>34</v>
      </c>
      <c r="C4" s="1266"/>
      <c r="D4" s="1033"/>
      <c r="E4" s="994">
        <v>1.9</v>
      </c>
      <c r="F4" s="995"/>
      <c r="G4" s="996">
        <v>3.5</v>
      </c>
      <c r="H4" s="994">
        <v>1.9</v>
      </c>
      <c r="I4" s="995"/>
      <c r="J4" s="996">
        <v>3.5</v>
      </c>
      <c r="K4" s="994">
        <v>1.9</v>
      </c>
      <c r="L4" s="995"/>
      <c r="M4" s="996">
        <v>3.5</v>
      </c>
      <c r="N4" s="994">
        <v>1.9</v>
      </c>
      <c r="O4" s="995"/>
      <c r="P4" s="996">
        <v>3.5</v>
      </c>
      <c r="Q4" s="994">
        <v>1.9</v>
      </c>
      <c r="R4" s="995"/>
      <c r="S4" s="996">
        <v>3.5</v>
      </c>
      <c r="T4" s="994">
        <v>1.9</v>
      </c>
      <c r="U4" s="995"/>
      <c r="V4" s="996">
        <v>3.5</v>
      </c>
      <c r="X4" s="1162">
        <f>+($AB$3-T4)/T4</f>
        <v>1.6526315789473687</v>
      </c>
      <c r="Y4" s="1162">
        <f>+($AD$3-V4)/V4</f>
        <v>1.8800000000000001</v>
      </c>
    </row>
    <row r="5" spans="1:30" s="1" customFormat="1" ht="30" customHeight="1" thickBot="1" x14ac:dyDescent="0.3">
      <c r="A5" s="1190"/>
      <c r="B5" s="18" t="s">
        <v>36</v>
      </c>
      <c r="C5" s="1266"/>
      <c r="D5" s="1033"/>
      <c r="E5" s="267"/>
      <c r="F5" s="240">
        <v>2.75</v>
      </c>
      <c r="G5" s="268">
        <v>3.5</v>
      </c>
      <c r="H5" s="267"/>
      <c r="I5" s="240">
        <v>2.75</v>
      </c>
      <c r="J5" s="268">
        <v>3.5</v>
      </c>
      <c r="K5" s="267"/>
      <c r="L5" s="240">
        <v>2.75</v>
      </c>
      <c r="M5" s="268">
        <v>3.5</v>
      </c>
      <c r="N5" s="267"/>
      <c r="O5" s="240">
        <v>2.75</v>
      </c>
      <c r="P5" s="268">
        <v>3.5</v>
      </c>
      <c r="Q5" s="267"/>
      <c r="R5" s="240">
        <v>2.75</v>
      </c>
      <c r="S5" s="268">
        <v>3.5</v>
      </c>
      <c r="T5" s="267"/>
      <c r="U5" s="240">
        <v>2.75</v>
      </c>
      <c r="V5" s="268">
        <v>3.5</v>
      </c>
      <c r="Z5"/>
      <c r="AA5"/>
      <c r="AB5"/>
      <c r="AC5"/>
      <c r="AD5"/>
    </row>
    <row r="6" spans="1:30" s="8" customFormat="1" ht="13.8" x14ac:dyDescent="0.25">
      <c r="A6" s="1198" t="s">
        <v>24</v>
      </c>
      <c r="B6" s="14" t="s">
        <v>53</v>
      </c>
      <c r="E6" s="787">
        <v>0.92</v>
      </c>
      <c r="F6" s="143"/>
      <c r="G6" s="144"/>
      <c r="H6" s="787">
        <v>0.92</v>
      </c>
      <c r="I6" s="143"/>
      <c r="J6" s="144"/>
      <c r="K6" s="787">
        <v>0.92</v>
      </c>
      <c r="L6" s="143"/>
      <c r="M6" s="144"/>
      <c r="N6" s="787">
        <v>0.92</v>
      </c>
      <c r="O6" s="143"/>
      <c r="P6" s="144"/>
      <c r="Q6" s="787">
        <v>0.92</v>
      </c>
      <c r="R6" s="143"/>
      <c r="S6" s="144"/>
      <c r="T6" s="787">
        <v>1.4</v>
      </c>
      <c r="U6" s="143"/>
      <c r="V6" s="869"/>
      <c r="W6" s="1162">
        <f>+(T6-Q6)/Q6</f>
        <v>0.52173913043478248</v>
      </c>
      <c r="X6" s="1162">
        <f>+($AB$3-T6)/T6</f>
        <v>2.6</v>
      </c>
      <c r="Y6" s="1162"/>
      <c r="Z6"/>
      <c r="AA6"/>
      <c r="AB6"/>
      <c r="AC6"/>
      <c r="AD6"/>
    </row>
    <row r="7" spans="1:30" s="8" customFormat="1" ht="13.8" x14ac:dyDescent="0.25">
      <c r="A7" s="1200"/>
      <c r="B7" s="18" t="s">
        <v>54</v>
      </c>
      <c r="E7" s="788"/>
      <c r="F7" s="788">
        <v>0.55000000000000004</v>
      </c>
      <c r="G7" s="146"/>
      <c r="H7" s="788"/>
      <c r="I7" s="788">
        <v>0.55000000000000004</v>
      </c>
      <c r="J7" s="146"/>
      <c r="K7" s="788"/>
      <c r="L7" s="788">
        <v>0.55000000000000004</v>
      </c>
      <c r="M7" s="146"/>
      <c r="N7" s="788"/>
      <c r="O7" s="788">
        <v>0.55000000000000004</v>
      </c>
      <c r="P7" s="146"/>
      <c r="Q7" s="788"/>
      <c r="R7" s="788">
        <v>0.55000000000000004</v>
      </c>
      <c r="S7" s="146"/>
      <c r="T7" s="788"/>
      <c r="U7" s="788">
        <v>1.4</v>
      </c>
      <c r="V7" s="204"/>
      <c r="W7" s="1162">
        <f>+(U7-R7)/R7</f>
        <v>1.5454545454545452</v>
      </c>
      <c r="X7" s="1162"/>
      <c r="Y7" s="1162"/>
      <c r="Z7"/>
      <c r="AA7"/>
      <c r="AB7"/>
      <c r="AC7"/>
      <c r="AD7"/>
    </row>
    <row r="8" spans="1:30" s="8" customFormat="1" ht="13.8" x14ac:dyDescent="0.25">
      <c r="A8" s="1200"/>
      <c r="B8" s="18" t="s">
        <v>57</v>
      </c>
      <c r="E8" s="788">
        <v>0.5</v>
      </c>
      <c r="F8" s="145"/>
      <c r="G8" s="146"/>
      <c r="H8" s="788">
        <v>0.5</v>
      </c>
      <c r="I8" s="145"/>
      <c r="J8" s="146"/>
      <c r="K8" s="788">
        <v>0.5</v>
      </c>
      <c r="L8" s="145"/>
      <c r="M8" s="146"/>
      <c r="N8" s="788">
        <v>0.5</v>
      </c>
      <c r="O8" s="145"/>
      <c r="P8" s="146"/>
      <c r="Q8" s="788">
        <v>0.5</v>
      </c>
      <c r="R8" s="145"/>
      <c r="S8" s="146"/>
      <c r="T8" s="788">
        <v>1.4</v>
      </c>
      <c r="U8" s="145"/>
      <c r="V8" s="204"/>
      <c r="W8" s="1162">
        <f t="shared" ref="W8" si="0">+(T8-Q8)/Q8</f>
        <v>1.7999999999999998</v>
      </c>
      <c r="X8" s="1162"/>
      <c r="Y8" s="1162"/>
      <c r="Z8"/>
      <c r="AA8"/>
      <c r="AB8"/>
      <c r="AC8"/>
      <c r="AD8"/>
    </row>
    <row r="9" spans="1:30" s="8" customFormat="1" ht="13.8" x14ac:dyDescent="0.25">
      <c r="A9" s="1200"/>
      <c r="B9" s="18" t="s">
        <v>58</v>
      </c>
      <c r="E9" s="801"/>
      <c r="F9" s="780"/>
      <c r="G9" s="802"/>
      <c r="H9" s="801"/>
      <c r="I9" s="780"/>
      <c r="J9" s="802"/>
      <c r="K9" s="801"/>
      <c r="L9" s="780"/>
      <c r="M9" s="802"/>
      <c r="N9" s="801"/>
      <c r="O9" s="780"/>
      <c r="P9" s="802"/>
      <c r="Q9" s="801"/>
      <c r="R9" s="780"/>
      <c r="S9" s="802"/>
      <c r="T9" s="801"/>
      <c r="U9" s="780"/>
      <c r="V9" s="870"/>
      <c r="W9" s="1162"/>
      <c r="X9" s="1162"/>
      <c r="Y9" s="1162"/>
      <c r="Z9"/>
      <c r="AA9"/>
      <c r="AB9"/>
      <c r="AC9"/>
      <c r="AD9"/>
    </row>
    <row r="10" spans="1:30" s="8" customFormat="1" ht="13.8" x14ac:dyDescent="0.25">
      <c r="A10" s="1200"/>
      <c r="B10" s="18" t="s">
        <v>59</v>
      </c>
      <c r="E10" s="801"/>
      <c r="F10" s="780"/>
      <c r="G10" s="802"/>
      <c r="H10" s="801"/>
      <c r="I10" s="780"/>
      <c r="J10" s="802"/>
      <c r="K10" s="801"/>
      <c r="L10" s="780"/>
      <c r="M10" s="802"/>
      <c r="N10" s="801"/>
      <c r="O10" s="780"/>
      <c r="P10" s="802"/>
      <c r="Q10" s="801"/>
      <c r="R10" s="780"/>
      <c r="S10" s="802"/>
      <c r="T10" s="801"/>
      <c r="U10" s="780"/>
      <c r="V10" s="870"/>
      <c r="W10" s="1162"/>
      <c r="X10" s="1162"/>
      <c r="Y10" s="1162"/>
    </row>
    <row r="11" spans="1:30" s="8" customFormat="1" ht="13.8" x14ac:dyDescent="0.25">
      <c r="A11" s="1200"/>
      <c r="B11" s="18" t="s">
        <v>55</v>
      </c>
      <c r="E11" s="801"/>
      <c r="F11" s="780"/>
      <c r="G11" s="802"/>
      <c r="H11" s="801"/>
      <c r="I11" s="780"/>
      <c r="J11" s="802"/>
      <c r="K11" s="801"/>
      <c r="L11" s="780"/>
      <c r="M11" s="802"/>
      <c r="N11" s="801"/>
      <c r="O11" s="780"/>
      <c r="P11" s="802"/>
      <c r="Q11" s="801"/>
      <c r="R11" s="780"/>
      <c r="S11" s="802"/>
      <c r="T11" s="801"/>
      <c r="U11" s="780"/>
      <c r="V11" s="870"/>
      <c r="W11" s="1162"/>
      <c r="X11" s="1162"/>
      <c r="Y11" s="1162"/>
    </row>
    <row r="12" spans="1:30" s="8" customFormat="1" ht="13.8" x14ac:dyDescent="0.25">
      <c r="A12" s="1200"/>
      <c r="B12" s="18" t="s">
        <v>56</v>
      </c>
      <c r="E12" s="203"/>
      <c r="F12" s="789">
        <v>0.5</v>
      </c>
      <c r="G12" s="146"/>
      <c r="H12" s="203"/>
      <c r="I12" s="789">
        <v>0.5</v>
      </c>
      <c r="J12" s="146"/>
      <c r="K12" s="203"/>
      <c r="L12" s="789">
        <v>0.5</v>
      </c>
      <c r="M12" s="146"/>
      <c r="N12" s="203"/>
      <c r="O12" s="789">
        <v>0.5</v>
      </c>
      <c r="P12" s="146"/>
      <c r="Q12" s="203"/>
      <c r="R12" s="789">
        <v>0.5</v>
      </c>
      <c r="S12" s="146"/>
      <c r="T12" s="203"/>
      <c r="U12" s="789">
        <v>1.4</v>
      </c>
      <c r="V12" s="204"/>
      <c r="W12" s="1162">
        <f>+(U12-R12)/R12</f>
        <v>1.7999999999999998</v>
      </c>
      <c r="X12" s="1162"/>
      <c r="Y12" s="1162"/>
    </row>
    <row r="13" spans="1:30" s="8" customFormat="1" ht="13.8" x14ac:dyDescent="0.25">
      <c r="A13" s="1200"/>
      <c r="B13" s="18" t="s">
        <v>60</v>
      </c>
      <c r="E13" s="203"/>
      <c r="F13" s="145"/>
      <c r="G13" s="790">
        <v>1</v>
      </c>
      <c r="H13" s="203"/>
      <c r="I13" s="145"/>
      <c r="J13" s="790">
        <v>1</v>
      </c>
      <c r="K13" s="203"/>
      <c r="L13" s="145"/>
      <c r="M13" s="790">
        <v>1</v>
      </c>
      <c r="N13" s="203"/>
      <c r="O13" s="145"/>
      <c r="P13" s="790">
        <v>1</v>
      </c>
      <c r="Q13" s="203"/>
      <c r="R13" s="145"/>
      <c r="S13" s="790">
        <v>1</v>
      </c>
      <c r="T13" s="203"/>
      <c r="U13" s="145"/>
      <c r="V13" s="804">
        <v>2.8</v>
      </c>
      <c r="W13" s="1162">
        <f>+(V13-S13)/S13</f>
        <v>1.7999999999999998</v>
      </c>
      <c r="X13" s="1162"/>
      <c r="Y13" s="1162"/>
    </row>
    <row r="14" spans="1:30" s="8" customFormat="1" ht="13.8" x14ac:dyDescent="0.25">
      <c r="A14" s="1200"/>
      <c r="B14" s="18" t="s">
        <v>61</v>
      </c>
      <c r="E14" s="203"/>
      <c r="F14" s="145"/>
      <c r="G14" s="790">
        <v>1</v>
      </c>
      <c r="H14" s="203"/>
      <c r="I14" s="145"/>
      <c r="J14" s="790">
        <v>1</v>
      </c>
      <c r="K14" s="203"/>
      <c r="L14" s="145"/>
      <c r="M14" s="790">
        <v>1</v>
      </c>
      <c r="N14" s="203"/>
      <c r="O14" s="145"/>
      <c r="P14" s="790">
        <v>1</v>
      </c>
      <c r="Q14" s="203"/>
      <c r="R14" s="145"/>
      <c r="S14" s="790">
        <v>1</v>
      </c>
      <c r="T14" s="203"/>
      <c r="U14" s="145"/>
      <c r="V14" s="804">
        <v>2.8</v>
      </c>
      <c r="W14" s="1162">
        <f>+(V14-S14)/S14</f>
        <v>1.7999999999999998</v>
      </c>
      <c r="X14" s="1162"/>
      <c r="Y14" s="1162"/>
    </row>
    <row r="15" spans="1:30" s="8" customFormat="1" ht="13.8" x14ac:dyDescent="0.25">
      <c r="A15" s="1200"/>
      <c r="B15" s="18" t="s">
        <v>65</v>
      </c>
      <c r="E15" s="801"/>
      <c r="F15" s="780"/>
      <c r="G15" s="802"/>
      <c r="H15" s="801"/>
      <c r="I15" s="780"/>
      <c r="J15" s="802"/>
      <c r="K15" s="801"/>
      <c r="L15" s="780"/>
      <c r="M15" s="802"/>
      <c r="N15" s="801"/>
      <c r="O15" s="780"/>
      <c r="P15" s="802"/>
      <c r="Q15" s="801"/>
      <c r="R15" s="780"/>
      <c r="S15" s="802"/>
      <c r="T15" s="801"/>
      <c r="U15" s="780"/>
      <c r="V15" s="870"/>
      <c r="W15" s="1162"/>
      <c r="X15" s="1162"/>
      <c r="Y15" s="1162"/>
    </row>
    <row r="16" spans="1:30" s="8" customFormat="1" ht="13.8" x14ac:dyDescent="0.25">
      <c r="A16" s="1200"/>
      <c r="B16" s="18" t="s">
        <v>66</v>
      </c>
      <c r="E16" s="801"/>
      <c r="F16" s="780"/>
      <c r="G16" s="802"/>
      <c r="H16" s="801"/>
      <c r="I16" s="780"/>
      <c r="J16" s="802"/>
      <c r="K16" s="801"/>
      <c r="L16" s="780"/>
      <c r="M16" s="802"/>
      <c r="N16" s="801"/>
      <c r="O16" s="780"/>
      <c r="P16" s="802"/>
      <c r="Q16" s="801"/>
      <c r="R16" s="780"/>
      <c r="S16" s="802"/>
      <c r="T16" s="801"/>
      <c r="U16" s="780"/>
      <c r="V16" s="870"/>
      <c r="W16" s="1162"/>
      <c r="X16" s="1162"/>
      <c r="Y16" s="1162"/>
    </row>
    <row r="17" spans="1:25" s="8" customFormat="1" ht="13.8" x14ac:dyDescent="0.25">
      <c r="A17" s="1200"/>
      <c r="B17" s="18" t="s">
        <v>67</v>
      </c>
      <c r="E17" s="801"/>
      <c r="F17" s="780"/>
      <c r="G17" s="802"/>
      <c r="H17" s="801"/>
      <c r="I17" s="780"/>
      <c r="J17" s="802"/>
      <c r="K17" s="801"/>
      <c r="L17" s="780"/>
      <c r="M17" s="802"/>
      <c r="N17" s="801"/>
      <c r="O17" s="780"/>
      <c r="P17" s="802"/>
      <c r="Q17" s="801"/>
      <c r="R17" s="780"/>
      <c r="S17" s="802"/>
      <c r="T17" s="801"/>
      <c r="U17" s="780"/>
      <c r="V17" s="870"/>
      <c r="W17" s="1162"/>
      <c r="X17" s="1162"/>
      <c r="Y17" s="1162"/>
    </row>
    <row r="18" spans="1:25" s="8" customFormat="1" ht="13.8" x14ac:dyDescent="0.25">
      <c r="A18" s="1200"/>
      <c r="B18" s="18" t="s">
        <v>62</v>
      </c>
      <c r="E18" s="803"/>
      <c r="F18" s="780"/>
      <c r="G18" s="802"/>
      <c r="H18" s="803"/>
      <c r="I18" s="780"/>
      <c r="J18" s="802"/>
      <c r="K18" s="803"/>
      <c r="L18" s="780"/>
      <c r="M18" s="802"/>
      <c r="N18" s="803"/>
      <c r="O18" s="780"/>
      <c r="P18" s="802"/>
      <c r="Q18" s="803"/>
      <c r="R18" s="780"/>
      <c r="S18" s="802"/>
      <c r="T18" s="803"/>
      <c r="U18" s="780"/>
      <c r="V18" s="870"/>
      <c r="W18" s="1162"/>
      <c r="X18" s="1162"/>
      <c r="Y18" s="1162"/>
    </row>
    <row r="19" spans="1:25" s="8" customFormat="1" ht="13.8" x14ac:dyDescent="0.25">
      <c r="A19" s="1200"/>
      <c r="B19" s="18" t="s">
        <v>63</v>
      </c>
      <c r="E19" s="203"/>
      <c r="F19" s="145"/>
      <c r="G19" s="790">
        <v>1</v>
      </c>
      <c r="H19" s="203"/>
      <c r="I19" s="145"/>
      <c r="J19" s="790">
        <v>1</v>
      </c>
      <c r="K19" s="203"/>
      <c r="L19" s="145"/>
      <c r="M19" s="790">
        <v>1</v>
      </c>
      <c r="N19" s="203"/>
      <c r="O19" s="145"/>
      <c r="P19" s="790">
        <v>1</v>
      </c>
      <c r="Q19" s="203"/>
      <c r="R19" s="145"/>
      <c r="S19" s="790">
        <v>1</v>
      </c>
      <c r="T19" s="203"/>
      <c r="U19" s="145"/>
      <c r="V19" s="804">
        <v>2.8</v>
      </c>
      <c r="W19" s="1162">
        <f>+(V19-S19)/S19</f>
        <v>1.7999999999999998</v>
      </c>
      <c r="X19" s="1162"/>
      <c r="Y19" s="1162">
        <f>+($AD$3-V19)/V19</f>
        <v>2.6</v>
      </c>
    </row>
    <row r="20" spans="1:25" s="8" customFormat="1" x14ac:dyDescent="0.25">
      <c r="A20" s="1204"/>
      <c r="B20" s="1258" t="s">
        <v>64</v>
      </c>
      <c r="E20" s="791"/>
      <c r="F20" s="792"/>
      <c r="G20" s="793"/>
      <c r="H20" s="791"/>
      <c r="I20" s="792"/>
      <c r="J20" s="793"/>
      <c r="K20" s="791"/>
      <c r="L20" s="792"/>
      <c r="M20" s="793"/>
      <c r="N20" s="791"/>
      <c r="O20" s="792"/>
      <c r="P20" s="793"/>
      <c r="Q20" s="791"/>
      <c r="R20" s="792"/>
      <c r="S20" s="793"/>
      <c r="T20" s="791"/>
      <c r="U20" s="792"/>
      <c r="V20" s="794"/>
    </row>
    <row r="21" spans="1:25" s="8" customFormat="1" ht="14.25" customHeight="1" x14ac:dyDescent="0.25">
      <c r="A21" s="1204"/>
      <c r="B21" s="1259"/>
      <c r="E21" s="791"/>
      <c r="F21" s="792"/>
      <c r="G21" s="793"/>
      <c r="H21" s="791"/>
      <c r="I21" s="792"/>
      <c r="J21" s="793"/>
      <c r="K21" s="791"/>
      <c r="L21" s="792"/>
      <c r="M21" s="793"/>
      <c r="N21" s="791"/>
      <c r="O21" s="792"/>
      <c r="P21" s="793"/>
      <c r="Q21" s="791"/>
      <c r="R21" s="792"/>
      <c r="S21" s="793"/>
      <c r="T21" s="791"/>
      <c r="U21" s="792"/>
      <c r="V21" s="794"/>
    </row>
    <row r="22" spans="1:25" s="8" customFormat="1" ht="13.8" thickBot="1" x14ac:dyDescent="0.3">
      <c r="A22" s="1201"/>
      <c r="B22" s="1260"/>
      <c r="E22" s="796"/>
      <c r="F22" s="797"/>
      <c r="G22" s="798"/>
      <c r="H22" s="796"/>
      <c r="I22" s="797"/>
      <c r="J22" s="798"/>
      <c r="K22" s="796"/>
      <c r="L22" s="797"/>
      <c r="M22" s="798"/>
      <c r="N22" s="796"/>
      <c r="O22" s="797"/>
      <c r="P22" s="798"/>
      <c r="Q22" s="796"/>
      <c r="R22" s="797"/>
      <c r="S22" s="798"/>
      <c r="T22" s="796"/>
      <c r="U22" s="797"/>
      <c r="V22" s="799"/>
    </row>
    <row r="23" spans="1:25" s="1" customFormat="1" ht="13.8" x14ac:dyDescent="0.25">
      <c r="A23" s="1198" t="s">
        <v>27</v>
      </c>
      <c r="B23" s="14" t="s">
        <v>16</v>
      </c>
      <c r="E23" s="867">
        <v>1.42</v>
      </c>
      <c r="F23" s="716"/>
      <c r="G23" s="717"/>
      <c r="H23" s="867">
        <v>1.42</v>
      </c>
      <c r="I23" s="716"/>
      <c r="J23" s="717"/>
      <c r="K23" s="867">
        <v>1.42</v>
      </c>
      <c r="L23" s="716"/>
      <c r="M23" s="717"/>
      <c r="N23" s="867">
        <v>1.42</v>
      </c>
      <c r="O23" s="716"/>
      <c r="P23" s="717"/>
      <c r="Q23" s="867">
        <v>1.42</v>
      </c>
      <c r="R23" s="716"/>
      <c r="S23" s="717"/>
      <c r="T23" s="867">
        <v>1.42</v>
      </c>
      <c r="U23" s="716"/>
      <c r="V23" s="717"/>
    </row>
    <row r="24" spans="1:25" ht="13.8" thickBot="1" x14ac:dyDescent="0.3">
      <c r="A24" s="1201"/>
      <c r="B24" s="51" t="s">
        <v>41</v>
      </c>
      <c r="E24" s="868"/>
      <c r="F24" s="1081">
        <v>2.13</v>
      </c>
      <c r="G24" s="868">
        <v>2.13</v>
      </c>
      <c r="H24" s="868"/>
      <c r="I24" s="1081">
        <v>2.13</v>
      </c>
      <c r="J24" s="868">
        <v>2.13</v>
      </c>
      <c r="K24" s="868"/>
      <c r="L24" s="1081">
        <v>2.13</v>
      </c>
      <c r="M24" s="868">
        <v>2.13</v>
      </c>
      <c r="N24" s="868"/>
      <c r="O24" s="1081">
        <v>2.13</v>
      </c>
      <c r="P24" s="868">
        <v>2.13</v>
      </c>
      <c r="Q24" s="868"/>
      <c r="R24" s="1081">
        <v>2.13</v>
      </c>
      <c r="S24" s="868">
        <v>2.13</v>
      </c>
      <c r="T24" s="868"/>
      <c r="U24" s="1081">
        <v>2.13</v>
      </c>
      <c r="V24" s="868">
        <v>2.13</v>
      </c>
    </row>
    <row r="25" spans="1:25" x14ac:dyDescent="0.25">
      <c r="A25" s="1198" t="s">
        <v>26</v>
      </c>
      <c r="B25" s="57" t="s">
        <v>31</v>
      </c>
      <c r="E25" s="888">
        <v>0.92900000000000005</v>
      </c>
      <c r="F25" s="159"/>
      <c r="G25" s="718"/>
      <c r="H25" s="888">
        <v>0.92900000000000005</v>
      </c>
      <c r="I25" s="159"/>
      <c r="J25" s="718"/>
      <c r="K25" s="888">
        <v>0.92900000000000005</v>
      </c>
      <c r="L25" s="159"/>
      <c r="M25" s="718"/>
      <c r="N25" s="888">
        <v>0.92900000000000005</v>
      </c>
      <c r="O25" s="159"/>
      <c r="P25" s="718"/>
      <c r="Q25" s="888">
        <v>0.92900000000000005</v>
      </c>
      <c r="R25" s="159"/>
      <c r="S25" s="718"/>
      <c r="T25" s="888">
        <v>1.8</v>
      </c>
      <c r="U25" s="159"/>
      <c r="V25" s="160"/>
      <c r="W25" s="1162">
        <f>+(T25-Q25)/Q25</f>
        <v>0.93756727664155004</v>
      </c>
      <c r="X25" s="1162"/>
      <c r="Y25" s="1162"/>
    </row>
    <row r="26" spans="1:25" x14ac:dyDescent="0.25">
      <c r="A26" s="1200"/>
      <c r="B26" s="53" t="s">
        <v>38</v>
      </c>
      <c r="E26" s="207"/>
      <c r="F26" s="889">
        <v>3.036</v>
      </c>
      <c r="G26" s="719"/>
      <c r="H26" s="207"/>
      <c r="I26" s="889">
        <v>3.036</v>
      </c>
      <c r="J26" s="719"/>
      <c r="K26" s="207"/>
      <c r="L26" s="889">
        <v>3.036</v>
      </c>
      <c r="M26" s="719"/>
      <c r="N26" s="207"/>
      <c r="O26" s="889">
        <v>3.036</v>
      </c>
      <c r="P26" s="719"/>
      <c r="Q26" s="207"/>
      <c r="R26" s="889">
        <v>3.036</v>
      </c>
      <c r="S26" s="719"/>
      <c r="T26" s="207"/>
      <c r="U26" s="889">
        <v>2.548</v>
      </c>
      <c r="V26" s="162"/>
      <c r="W26" s="1162">
        <f>+(U26-R26)/R26</f>
        <v>-0.16073781291172595</v>
      </c>
      <c r="X26" s="1162"/>
      <c r="Y26" s="1162"/>
    </row>
    <row r="27" spans="1:25" x14ac:dyDescent="0.25">
      <c r="A27" s="1200"/>
      <c r="B27" s="53" t="s">
        <v>39</v>
      </c>
      <c r="E27" s="207"/>
      <c r="F27" s="889">
        <v>1.96</v>
      </c>
      <c r="G27" s="719"/>
      <c r="H27" s="207"/>
      <c r="I27" s="889">
        <v>1.96</v>
      </c>
      <c r="J27" s="719"/>
      <c r="K27" s="207"/>
      <c r="L27" s="889">
        <v>1.96</v>
      </c>
      <c r="M27" s="719"/>
      <c r="N27" s="207"/>
      <c r="O27" s="889">
        <v>1.96</v>
      </c>
      <c r="P27" s="719"/>
      <c r="Q27" s="207"/>
      <c r="R27" s="889">
        <v>1.96</v>
      </c>
      <c r="S27" s="719"/>
      <c r="T27" s="207"/>
      <c r="U27" s="889">
        <v>3.1360000000000001</v>
      </c>
      <c r="V27" s="162"/>
      <c r="W27" s="1162">
        <f>+(U27-R27)/R27</f>
        <v>0.60000000000000009</v>
      </c>
      <c r="X27" s="1162"/>
      <c r="Y27" s="1162"/>
    </row>
    <row r="28" spans="1:25" s="1" customFormat="1" ht="13.8" thickBot="1" x14ac:dyDescent="0.3">
      <c r="A28" s="1201"/>
      <c r="B28" s="51" t="s">
        <v>40</v>
      </c>
      <c r="E28" s="208"/>
      <c r="F28" s="163"/>
      <c r="G28" s="890">
        <v>5.2389999999999999</v>
      </c>
      <c r="H28" s="208"/>
      <c r="I28" s="163"/>
      <c r="J28" s="890">
        <v>5.2389999999999999</v>
      </c>
      <c r="K28" s="208"/>
      <c r="L28" s="163"/>
      <c r="M28" s="890">
        <v>5.2389999999999999</v>
      </c>
      <c r="N28" s="208"/>
      <c r="O28" s="163"/>
      <c r="P28" s="890">
        <v>5.2389999999999999</v>
      </c>
      <c r="Q28" s="208"/>
      <c r="R28" s="163"/>
      <c r="S28" s="890">
        <v>5.2389999999999999</v>
      </c>
      <c r="T28" s="208"/>
      <c r="U28" s="163"/>
      <c r="V28" s="891">
        <v>5.2389999999999999</v>
      </c>
    </row>
    <row r="29" spans="1:25" s="1" customFormat="1" ht="52.8" x14ac:dyDescent="0.25">
      <c r="A29" s="1198" t="s">
        <v>28</v>
      </c>
      <c r="B29" s="14" t="s">
        <v>31</v>
      </c>
      <c r="C29" s="973" t="s">
        <v>229</v>
      </c>
      <c r="D29" s="1034"/>
      <c r="E29" s="960">
        <v>0.47099999999999997</v>
      </c>
      <c r="F29" s="166"/>
      <c r="G29" s="720"/>
      <c r="H29" s="960">
        <v>0.47099999999999997</v>
      </c>
      <c r="I29" s="166"/>
      <c r="J29" s="720"/>
      <c r="K29" s="960">
        <v>0.47099999999999997</v>
      </c>
      <c r="L29" s="166"/>
      <c r="M29" s="720"/>
      <c r="N29" s="960">
        <v>0.47099999999999997</v>
      </c>
      <c r="O29" s="166"/>
      <c r="P29" s="720"/>
      <c r="Q29" s="960">
        <v>0.47099999999999997</v>
      </c>
      <c r="R29" s="166"/>
      <c r="S29" s="720"/>
      <c r="T29" s="960">
        <v>0.47099999999999997</v>
      </c>
      <c r="U29" s="166"/>
      <c r="V29" s="720"/>
      <c r="X29" s="1162">
        <f>+($AB$3-T29)/T29</f>
        <v>9.7006369426751604</v>
      </c>
    </row>
    <row r="30" spans="1:25" s="7" customFormat="1" x14ac:dyDescent="0.25">
      <c r="A30" s="1200"/>
      <c r="B30" s="53" t="s">
        <v>32</v>
      </c>
      <c r="C30" s="974" t="s">
        <v>231</v>
      </c>
      <c r="D30" s="1035"/>
      <c r="E30" s="961">
        <v>0.47099999999999997</v>
      </c>
      <c r="F30" s="168"/>
      <c r="G30" s="721"/>
      <c r="H30" s="961">
        <v>0.47099999999999997</v>
      </c>
      <c r="I30" s="168"/>
      <c r="J30" s="721"/>
      <c r="K30" s="961">
        <v>0.47099999999999997</v>
      </c>
      <c r="L30" s="168"/>
      <c r="M30" s="721"/>
      <c r="N30" s="961">
        <v>0.47099999999999997</v>
      </c>
      <c r="O30" s="168"/>
      <c r="P30" s="721"/>
      <c r="Q30" s="961">
        <v>0.47099999999999997</v>
      </c>
      <c r="R30" s="168"/>
      <c r="S30" s="721"/>
      <c r="T30" s="961">
        <v>0.47099999999999997</v>
      </c>
      <c r="U30" s="168"/>
      <c r="V30" s="721"/>
      <c r="X30" s="1162">
        <f>+($AB$3-T30)/T30</f>
        <v>9.7006369426751604</v>
      </c>
    </row>
    <row r="31" spans="1:25" s="7" customFormat="1" ht="66" x14ac:dyDescent="0.25">
      <c r="A31" s="1200"/>
      <c r="B31" s="53" t="s">
        <v>33</v>
      </c>
      <c r="C31" s="974" t="s">
        <v>230</v>
      </c>
      <c r="D31" s="1035"/>
      <c r="E31" s="210"/>
      <c r="F31" s="959">
        <v>0.47099999999999997</v>
      </c>
      <c r="G31" s="721"/>
      <c r="H31" s="210"/>
      <c r="I31" s="959">
        <v>0.47099999999999997</v>
      </c>
      <c r="J31" s="721"/>
      <c r="K31" s="210"/>
      <c r="L31" s="959">
        <v>0.47099999999999997</v>
      </c>
      <c r="M31" s="721"/>
      <c r="N31" s="210"/>
      <c r="O31" s="959">
        <v>0.47099999999999997</v>
      </c>
      <c r="P31" s="721"/>
      <c r="Q31" s="210"/>
      <c r="R31" s="959">
        <v>0.47099999999999997</v>
      </c>
      <c r="S31" s="721"/>
      <c r="T31" s="210"/>
      <c r="U31" s="959">
        <v>0.47099999999999997</v>
      </c>
      <c r="V31" s="721"/>
    </row>
    <row r="32" spans="1:25" ht="13.8" thickBot="1" x14ac:dyDescent="0.3">
      <c r="A32" s="1201"/>
      <c r="B32" s="51" t="s">
        <v>15</v>
      </c>
      <c r="C32" s="975"/>
      <c r="D32" s="1036"/>
      <c r="E32" s="211"/>
      <c r="F32" s="171"/>
      <c r="G32" s="971">
        <v>7.2</v>
      </c>
      <c r="H32" s="211"/>
      <c r="I32" s="171"/>
      <c r="J32" s="971">
        <v>7.2</v>
      </c>
      <c r="K32" s="211"/>
      <c r="L32" s="171"/>
      <c r="M32" s="971">
        <v>7.2</v>
      </c>
      <c r="N32" s="211"/>
      <c r="O32" s="171"/>
      <c r="P32" s="971">
        <v>7.2</v>
      </c>
      <c r="Q32" s="211"/>
      <c r="R32" s="171"/>
      <c r="S32" s="971">
        <v>7.2</v>
      </c>
      <c r="T32" s="211"/>
      <c r="U32" s="171"/>
      <c r="V32" s="971">
        <v>7.2</v>
      </c>
      <c r="Y32" s="1162">
        <f>+($AD$3-V32)/V32</f>
        <v>0.39999999999999997</v>
      </c>
    </row>
    <row r="33" spans="1:25" s="1" customFormat="1" ht="13.8" x14ac:dyDescent="0.25">
      <c r="A33" s="1198" t="s">
        <v>29</v>
      </c>
      <c r="B33" s="14" t="s">
        <v>42</v>
      </c>
      <c r="C33" s="1264" t="s">
        <v>255</v>
      </c>
      <c r="D33" s="1037"/>
      <c r="E33" s="965">
        <v>0.48</v>
      </c>
      <c r="F33" s="966"/>
      <c r="G33" s="966"/>
      <c r="H33" s="965">
        <v>0.46</v>
      </c>
      <c r="I33" s="966"/>
      <c r="J33" s="966"/>
      <c r="K33" s="965">
        <v>0.44</v>
      </c>
      <c r="L33" s="966"/>
      <c r="M33" s="966"/>
      <c r="N33" s="965">
        <v>0.42</v>
      </c>
      <c r="O33" s="966"/>
      <c r="P33" s="966"/>
      <c r="Q33" s="965">
        <v>0.4</v>
      </c>
      <c r="R33" s="966"/>
      <c r="S33" s="966"/>
      <c r="T33" s="965">
        <v>0.56999999999999995</v>
      </c>
      <c r="U33" s="966"/>
      <c r="V33" s="966"/>
      <c r="W33" s="1162">
        <f>+(T33-Q33)/Q33</f>
        <v>0.42499999999999982</v>
      </c>
      <c r="X33" s="1162">
        <f>+($AB$3-T33)/T33</f>
        <v>7.8421052631578947</v>
      </c>
      <c r="Y33" s="1162"/>
    </row>
    <row r="34" spans="1:25" s="1" customFormat="1" ht="13.8" x14ac:dyDescent="0.25">
      <c r="A34" s="1200"/>
      <c r="B34" s="18" t="s">
        <v>43</v>
      </c>
      <c r="C34" s="1265"/>
      <c r="D34" s="1038"/>
      <c r="E34" s="965"/>
      <c r="F34" s="966">
        <v>0.48</v>
      </c>
      <c r="G34" s="966"/>
      <c r="H34" s="965"/>
      <c r="I34" s="966">
        <v>0.46</v>
      </c>
      <c r="J34" s="966"/>
      <c r="K34" s="965"/>
      <c r="L34" s="966">
        <v>0.44</v>
      </c>
      <c r="M34" s="966"/>
      <c r="N34" s="965"/>
      <c r="O34" s="966">
        <v>0.42</v>
      </c>
      <c r="P34" s="966"/>
      <c r="Q34" s="965"/>
      <c r="R34" s="966">
        <v>0.4</v>
      </c>
      <c r="S34" s="966"/>
      <c r="T34" s="965"/>
      <c r="U34" s="966">
        <v>0.56999999999999995</v>
      </c>
      <c r="V34" s="966"/>
      <c r="W34" s="1162">
        <f t="shared" ref="W34:W36" si="1">+(U34-R34)/R34</f>
        <v>0.42499999999999982</v>
      </c>
      <c r="X34" s="1162"/>
      <c r="Y34" s="1162"/>
    </row>
    <row r="35" spans="1:25" s="1" customFormat="1" ht="13.8" x14ac:dyDescent="0.25">
      <c r="A35" s="1200"/>
      <c r="B35" s="18" t="s">
        <v>44</v>
      </c>
      <c r="C35" s="1265" t="s">
        <v>256</v>
      </c>
      <c r="D35" s="1039"/>
      <c r="E35" s="965">
        <v>0.48</v>
      </c>
      <c r="F35" s="966"/>
      <c r="G35" s="966"/>
      <c r="H35" s="965">
        <v>0.46</v>
      </c>
      <c r="I35" s="966"/>
      <c r="J35" s="966"/>
      <c r="K35" s="965">
        <v>0.44</v>
      </c>
      <c r="L35" s="966"/>
      <c r="M35" s="966"/>
      <c r="N35" s="965">
        <v>0.42</v>
      </c>
      <c r="O35" s="966"/>
      <c r="P35" s="966"/>
      <c r="Q35" s="965">
        <v>0.4</v>
      </c>
      <c r="R35" s="966"/>
      <c r="S35" s="966"/>
      <c r="T35" s="965">
        <v>0.56999999999999995</v>
      </c>
      <c r="U35" s="966"/>
      <c r="V35" s="966"/>
      <c r="W35" s="1162">
        <f>+(T35-Q35)/Q35</f>
        <v>0.42499999999999982</v>
      </c>
      <c r="X35" s="1162"/>
      <c r="Y35" s="1162"/>
    </row>
    <row r="36" spans="1:25" s="1" customFormat="1" ht="13.8" x14ac:dyDescent="0.25">
      <c r="A36" s="1200"/>
      <c r="B36" s="18" t="s">
        <v>52</v>
      </c>
      <c r="C36" s="1265"/>
      <c r="D36" s="1038"/>
      <c r="E36" s="965"/>
      <c r="F36" s="966">
        <v>0.48</v>
      </c>
      <c r="G36" s="966"/>
      <c r="H36" s="965"/>
      <c r="I36" s="966">
        <v>0.46</v>
      </c>
      <c r="J36" s="966"/>
      <c r="K36" s="965"/>
      <c r="L36" s="966">
        <v>0.44</v>
      </c>
      <c r="M36" s="966"/>
      <c r="N36" s="965"/>
      <c r="O36" s="966">
        <v>0.42</v>
      </c>
      <c r="P36" s="966"/>
      <c r="Q36" s="965"/>
      <c r="R36" s="966">
        <v>0.4</v>
      </c>
      <c r="S36" s="966"/>
      <c r="T36" s="965"/>
      <c r="U36" s="966">
        <v>0.56999999999999995</v>
      </c>
      <c r="V36" s="966"/>
      <c r="W36" s="1162">
        <f t="shared" si="1"/>
        <v>0.42499999999999982</v>
      </c>
      <c r="X36" s="1162"/>
      <c r="Y36" s="1162"/>
    </row>
    <row r="37" spans="1:25" s="1" customFormat="1" ht="13.8" x14ac:dyDescent="0.25">
      <c r="A37" s="1200"/>
      <c r="B37" s="18" t="s">
        <v>45</v>
      </c>
      <c r="C37" s="1265" t="s">
        <v>257</v>
      </c>
      <c r="D37" s="1038" t="s">
        <v>31</v>
      </c>
      <c r="E37" s="965"/>
      <c r="F37" s="966"/>
      <c r="G37" s="966">
        <v>0.96</v>
      </c>
      <c r="H37" s="965"/>
      <c r="I37" s="966"/>
      <c r="J37" s="966">
        <v>0.92</v>
      </c>
      <c r="K37" s="965"/>
      <c r="L37" s="966"/>
      <c r="M37" s="966">
        <v>0.88</v>
      </c>
      <c r="N37" s="965"/>
      <c r="O37" s="966"/>
      <c r="P37" s="966">
        <v>0.84</v>
      </c>
      <c r="Q37" s="965"/>
      <c r="R37" s="966"/>
      <c r="S37" s="966">
        <v>0.8</v>
      </c>
      <c r="T37" s="965"/>
      <c r="U37" s="966"/>
      <c r="V37" s="966">
        <v>1.1399999999999999</v>
      </c>
      <c r="W37" s="1162">
        <f>+(V37-S37)/S37</f>
        <v>0.42499999999999982</v>
      </c>
      <c r="X37" s="1162"/>
      <c r="Y37" s="1162">
        <f>+($AD$3-V37)/V37</f>
        <v>7.8421052631578947</v>
      </c>
    </row>
    <row r="38" spans="1:25" s="1" customFormat="1" ht="13.8" x14ac:dyDescent="0.25">
      <c r="A38" s="1200"/>
      <c r="B38" s="18" t="s">
        <v>46</v>
      </c>
      <c r="C38" s="1265"/>
      <c r="D38" s="1038" t="s">
        <v>33</v>
      </c>
      <c r="E38" s="965"/>
      <c r="F38" s="966"/>
      <c r="G38" s="966">
        <v>0.96</v>
      </c>
      <c r="H38" s="965"/>
      <c r="I38" s="966"/>
      <c r="J38" s="966">
        <v>0.92</v>
      </c>
      <c r="K38" s="965"/>
      <c r="L38" s="966"/>
      <c r="M38" s="966">
        <v>0.88</v>
      </c>
      <c r="N38" s="965"/>
      <c r="O38" s="966"/>
      <c r="P38" s="966">
        <v>0.84</v>
      </c>
      <c r="Q38" s="965"/>
      <c r="R38" s="966"/>
      <c r="S38" s="966">
        <v>0.8</v>
      </c>
      <c r="T38" s="965"/>
      <c r="U38" s="966"/>
      <c r="V38" s="966">
        <v>1.1399999999999999</v>
      </c>
      <c r="W38" s="1162">
        <f t="shared" ref="W38:W40" si="2">+(V38-S38)/S38</f>
        <v>0.42499999999999982</v>
      </c>
      <c r="X38" s="1162"/>
      <c r="Y38" s="1162"/>
    </row>
    <row r="39" spans="1:25" s="1" customFormat="1" ht="13.8" x14ac:dyDescent="0.25">
      <c r="A39" s="1200"/>
      <c r="B39" s="18" t="s">
        <v>47</v>
      </c>
      <c r="C39" s="1265" t="s">
        <v>258</v>
      </c>
      <c r="D39" s="1038" t="s">
        <v>31</v>
      </c>
      <c r="E39" s="965"/>
      <c r="F39" s="966"/>
      <c r="G39" s="966">
        <v>0.96</v>
      </c>
      <c r="H39" s="965"/>
      <c r="I39" s="966"/>
      <c r="J39" s="966">
        <v>0.92</v>
      </c>
      <c r="K39" s="965"/>
      <c r="L39" s="966"/>
      <c r="M39" s="966">
        <v>0.88</v>
      </c>
      <c r="N39" s="965"/>
      <c r="O39" s="966"/>
      <c r="P39" s="966">
        <v>0.84</v>
      </c>
      <c r="Q39" s="965"/>
      <c r="R39" s="966"/>
      <c r="S39" s="966">
        <v>0.8</v>
      </c>
      <c r="T39" s="965"/>
      <c r="U39" s="966"/>
      <c r="V39" s="966">
        <v>1.1399999999999999</v>
      </c>
      <c r="W39" s="1162">
        <f t="shared" si="2"/>
        <v>0.42499999999999982</v>
      </c>
      <c r="X39" s="1162"/>
      <c r="Y39" s="1162"/>
    </row>
    <row r="40" spans="1:25" s="1" customFormat="1" ht="13.8" x14ac:dyDescent="0.25">
      <c r="A40" s="1200"/>
      <c r="B40" s="18" t="s">
        <v>48</v>
      </c>
      <c r="C40" s="1265"/>
      <c r="D40" s="1038" t="s">
        <v>33</v>
      </c>
      <c r="E40" s="965"/>
      <c r="F40" s="966"/>
      <c r="G40" s="966">
        <v>0.96</v>
      </c>
      <c r="H40" s="965"/>
      <c r="I40" s="966"/>
      <c r="J40" s="966">
        <v>0.92</v>
      </c>
      <c r="K40" s="965"/>
      <c r="L40" s="966"/>
      <c r="M40" s="966">
        <v>0.88</v>
      </c>
      <c r="N40" s="965"/>
      <c r="O40" s="966"/>
      <c r="P40" s="966">
        <v>0.84</v>
      </c>
      <c r="Q40" s="965"/>
      <c r="R40" s="966"/>
      <c r="S40" s="966">
        <v>0.8</v>
      </c>
      <c r="T40" s="965"/>
      <c r="U40" s="966"/>
      <c r="V40" s="966">
        <v>1.1399999999999999</v>
      </c>
      <c r="W40" s="1162">
        <f t="shared" si="2"/>
        <v>0.42499999999999982</v>
      </c>
      <c r="X40" s="1162"/>
      <c r="Y40" s="1162"/>
    </row>
    <row r="41" spans="1:25" s="1" customFormat="1" ht="13.8" x14ac:dyDescent="0.25">
      <c r="A41" s="1200"/>
      <c r="B41" s="18" t="s">
        <v>49</v>
      </c>
      <c r="E41" s="965"/>
      <c r="F41" s="966"/>
      <c r="G41" s="966"/>
      <c r="H41" s="965"/>
      <c r="I41" s="966"/>
      <c r="J41" s="966"/>
      <c r="K41" s="965"/>
      <c r="L41" s="966"/>
      <c r="M41" s="966"/>
      <c r="N41" s="965"/>
      <c r="O41" s="966"/>
      <c r="P41" s="966"/>
      <c r="Q41" s="965"/>
      <c r="R41" s="966"/>
      <c r="S41" s="966"/>
      <c r="T41" s="965"/>
      <c r="U41" s="966"/>
      <c r="V41" s="966"/>
    </row>
    <row r="42" spans="1:25" s="1" customFormat="1" ht="13.8" x14ac:dyDescent="0.25">
      <c r="A42" s="1200"/>
      <c r="B42" s="18" t="s">
        <v>50</v>
      </c>
      <c r="E42" s="965"/>
      <c r="F42" s="966"/>
      <c r="G42" s="966"/>
      <c r="H42" s="965"/>
      <c r="I42" s="966"/>
      <c r="J42" s="966"/>
      <c r="K42" s="965"/>
      <c r="L42" s="966"/>
      <c r="M42" s="966"/>
      <c r="N42" s="965"/>
      <c r="O42" s="966"/>
      <c r="P42" s="966"/>
      <c r="Q42" s="965"/>
      <c r="R42" s="966"/>
      <c r="S42" s="966"/>
      <c r="T42" s="965"/>
      <c r="U42" s="966"/>
      <c r="V42" s="966"/>
    </row>
    <row r="43" spans="1:25" ht="14.4" thickBot="1" x14ac:dyDescent="0.3">
      <c r="A43" s="1201"/>
      <c r="B43" s="21" t="s">
        <v>51</v>
      </c>
      <c r="E43" s="968"/>
      <c r="F43" s="969"/>
      <c r="G43" s="970"/>
      <c r="H43" s="968"/>
      <c r="I43" s="969"/>
      <c r="J43" s="970"/>
      <c r="K43" s="968"/>
      <c r="L43" s="969"/>
      <c r="M43" s="970"/>
      <c r="N43" s="968"/>
      <c r="O43" s="969"/>
      <c r="P43" s="970"/>
      <c r="Q43" s="968"/>
      <c r="R43" s="969"/>
      <c r="S43" s="970"/>
      <c r="T43" s="968"/>
      <c r="U43" s="969"/>
      <c r="V43" s="970"/>
    </row>
    <row r="44" spans="1:25" ht="24.9" customHeight="1" x14ac:dyDescent="0.25"/>
    <row r="45" spans="1:25" ht="27.75" customHeight="1" x14ac:dyDescent="0.25"/>
    <row r="46" spans="1:25" ht="27.6" customHeight="1" x14ac:dyDescent="0.25"/>
    <row r="47" spans="1:25" ht="24.9" customHeight="1" x14ac:dyDescent="0.25"/>
    <row r="48" spans="1:25" ht="24.9" customHeight="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24.9" customHeight="1" x14ac:dyDescent="0.25"/>
    <row r="82" ht="24.9" customHeight="1" x14ac:dyDescent="0.25"/>
    <row r="83" ht="24.9" customHeight="1" x14ac:dyDescent="0.25"/>
    <row r="84" ht="24.9" customHeight="1" x14ac:dyDescent="0.25"/>
    <row r="85" ht="24.9" customHeight="1" x14ac:dyDescent="0.25"/>
    <row r="86" ht="24.9" customHeight="1" x14ac:dyDescent="0.25"/>
    <row r="87" ht="24.9" customHeight="1" x14ac:dyDescent="0.25"/>
    <row r="88" ht="24.9" customHeight="1" x14ac:dyDescent="0.25"/>
    <row r="89" ht="24.9" customHeight="1" x14ac:dyDescent="0.25"/>
    <row r="90" ht="24.9" customHeight="1" x14ac:dyDescent="0.25"/>
    <row r="91" ht="24.9" customHeight="1" x14ac:dyDescent="0.25"/>
    <row r="92" ht="24.9" customHeight="1" x14ac:dyDescent="0.25"/>
    <row r="93" ht="24.9" customHeight="1" x14ac:dyDescent="0.25"/>
    <row r="94" ht="24.9" customHeight="1" x14ac:dyDescent="0.25"/>
    <row r="95" ht="24.9" customHeight="1" x14ac:dyDescent="0.25"/>
    <row r="96" ht="24.9" customHeight="1" x14ac:dyDescent="0.25"/>
    <row r="97" ht="24.9" customHeight="1" x14ac:dyDescent="0.25"/>
    <row r="98" ht="24.9" customHeight="1" x14ac:dyDescent="0.25"/>
    <row r="99" ht="24.9" customHeight="1" x14ac:dyDescent="0.25"/>
    <row r="100" ht="24.9" customHeight="1" x14ac:dyDescent="0.25"/>
    <row r="101" ht="24.9" customHeight="1" x14ac:dyDescent="0.25"/>
    <row r="102" ht="24.9" customHeight="1" x14ac:dyDescent="0.25"/>
    <row r="103" ht="24.9" customHeight="1" x14ac:dyDescent="0.25"/>
    <row r="104" ht="24.9" customHeight="1" x14ac:dyDescent="0.25"/>
    <row r="105" ht="24.9" customHeight="1" x14ac:dyDescent="0.25"/>
    <row r="106" ht="24.9" customHeight="1" x14ac:dyDescent="0.25"/>
    <row r="107" ht="24.9" customHeight="1" x14ac:dyDescent="0.25"/>
    <row r="108" ht="24.9" customHeight="1" x14ac:dyDescent="0.25"/>
    <row r="109" ht="24.9" customHeight="1" x14ac:dyDescent="0.25"/>
    <row r="110" ht="24.9" customHeight="1" x14ac:dyDescent="0.25"/>
    <row r="111" ht="24.9" customHeight="1" x14ac:dyDescent="0.25"/>
    <row r="112" ht="24.9" customHeight="1" x14ac:dyDescent="0.25"/>
    <row r="113" ht="24.9" customHeight="1" x14ac:dyDescent="0.25"/>
    <row r="114" ht="24.9" customHeight="1" x14ac:dyDescent="0.25"/>
    <row r="115" ht="24.9" customHeight="1" x14ac:dyDescent="0.25"/>
    <row r="116" ht="24.9" customHeight="1" x14ac:dyDescent="0.25"/>
    <row r="117" ht="24.9" customHeight="1" x14ac:dyDescent="0.25"/>
    <row r="118" ht="24.9" customHeight="1" x14ac:dyDescent="0.25"/>
    <row r="119" ht="24.9" customHeight="1" x14ac:dyDescent="0.25"/>
    <row r="120" ht="24.9" customHeight="1" x14ac:dyDescent="0.25"/>
    <row r="121" ht="24.9" customHeight="1" x14ac:dyDescent="0.25"/>
    <row r="122" ht="24.9" customHeight="1" x14ac:dyDescent="0.25"/>
    <row r="123" ht="24.9" customHeight="1" x14ac:dyDescent="0.25"/>
    <row r="124" ht="24.9" customHeight="1" x14ac:dyDescent="0.25"/>
    <row r="125" ht="24.9" customHeight="1" x14ac:dyDescent="0.25"/>
    <row r="126" ht="24.9" customHeight="1" x14ac:dyDescent="0.25"/>
    <row r="127" ht="24.9" customHeight="1" x14ac:dyDescent="0.25"/>
    <row r="128" ht="24.9" customHeight="1" x14ac:dyDescent="0.25"/>
    <row r="129" ht="24.9" customHeight="1" x14ac:dyDescent="0.25"/>
    <row r="130" ht="24.9" customHeight="1" x14ac:dyDescent="0.25"/>
    <row r="131" ht="24.9" customHeight="1" x14ac:dyDescent="0.25"/>
    <row r="132" ht="24.9" customHeight="1" x14ac:dyDescent="0.25"/>
    <row r="133" ht="24.9" customHeight="1" x14ac:dyDescent="0.25"/>
    <row r="134" ht="24.9" customHeight="1" x14ac:dyDescent="0.25"/>
    <row r="135" ht="24.9" customHeight="1" x14ac:dyDescent="0.25"/>
    <row r="136" ht="24.9" customHeight="1" x14ac:dyDescent="0.25"/>
    <row r="137" ht="24.9" customHeight="1" x14ac:dyDescent="0.25"/>
    <row r="138" ht="24.9" customHeight="1" x14ac:dyDescent="0.25"/>
    <row r="139" ht="24.9" customHeight="1" x14ac:dyDescent="0.25"/>
    <row r="140" ht="24.9" customHeight="1" x14ac:dyDescent="0.25"/>
    <row r="141" ht="24.9" customHeight="1" x14ac:dyDescent="0.25"/>
    <row r="142" ht="24.9" customHeight="1" x14ac:dyDescent="0.25"/>
    <row r="143" ht="24.9" customHeight="1" x14ac:dyDescent="0.25"/>
    <row r="144" ht="24.9" customHeight="1" x14ac:dyDescent="0.25"/>
    <row r="145" ht="24.9" customHeight="1" x14ac:dyDescent="0.25"/>
    <row r="146" ht="24.9" customHeight="1" x14ac:dyDescent="0.25"/>
    <row r="147" ht="24.9" customHeight="1" x14ac:dyDescent="0.25"/>
    <row r="148" ht="24.9" customHeight="1" x14ac:dyDescent="0.25"/>
    <row r="149" ht="24.9" customHeight="1" x14ac:dyDescent="0.25"/>
    <row r="150" ht="24.9" customHeight="1" x14ac:dyDescent="0.25"/>
    <row r="151" ht="24.9" customHeight="1" x14ac:dyDescent="0.25"/>
    <row r="152" ht="24.9" customHeight="1" x14ac:dyDescent="0.25"/>
    <row r="153" ht="24.9" customHeight="1" x14ac:dyDescent="0.25"/>
    <row r="154" ht="24.9" customHeight="1" x14ac:dyDescent="0.25"/>
    <row r="155" ht="24.9" customHeight="1" x14ac:dyDescent="0.25"/>
    <row r="156" ht="24.9" customHeight="1" x14ac:dyDescent="0.25"/>
    <row r="157" ht="24.9" customHeight="1" x14ac:dyDescent="0.25"/>
    <row r="158" ht="24.9" customHeight="1" x14ac:dyDescent="0.25"/>
    <row r="159" ht="24.9" customHeight="1" x14ac:dyDescent="0.25"/>
    <row r="160" ht="24.9" customHeight="1" x14ac:dyDescent="0.25"/>
    <row r="161" ht="24.9" customHeight="1" x14ac:dyDescent="0.25"/>
    <row r="162" ht="24.9" customHeight="1" x14ac:dyDescent="0.25"/>
    <row r="163" ht="24.9" customHeight="1" x14ac:dyDescent="0.25"/>
    <row r="164" ht="24.9" customHeight="1" x14ac:dyDescent="0.25"/>
    <row r="165" ht="24.9" customHeight="1" x14ac:dyDescent="0.25"/>
    <row r="166" ht="24.9" customHeight="1" x14ac:dyDescent="0.25"/>
    <row r="167" ht="24.9" customHeight="1" x14ac:dyDescent="0.25"/>
    <row r="168" ht="24.9" customHeight="1" x14ac:dyDescent="0.25"/>
    <row r="169" ht="24.9" customHeight="1" x14ac:dyDescent="0.25"/>
    <row r="170" ht="24.9" customHeight="1" x14ac:dyDescent="0.25"/>
    <row r="171" ht="24.9" customHeight="1" x14ac:dyDescent="0.25"/>
    <row r="172" ht="24.9" customHeight="1" x14ac:dyDescent="0.25"/>
    <row r="173" ht="24.9" customHeight="1" x14ac:dyDescent="0.25"/>
    <row r="174" ht="24.9" customHeight="1" x14ac:dyDescent="0.25"/>
    <row r="175" ht="24.9" customHeight="1" x14ac:dyDescent="0.25"/>
    <row r="176" ht="24.9" customHeight="1" x14ac:dyDescent="0.25"/>
    <row r="177" ht="24.9" customHeight="1" x14ac:dyDescent="0.25"/>
    <row r="178" ht="24.9" customHeight="1" x14ac:dyDescent="0.25"/>
    <row r="179" ht="24.9" customHeight="1" x14ac:dyDescent="0.25"/>
    <row r="180" ht="24.9" customHeight="1" x14ac:dyDescent="0.25"/>
    <row r="181" ht="24.9" customHeight="1" x14ac:dyDescent="0.25"/>
    <row r="182" ht="24.9" customHeight="1" x14ac:dyDescent="0.25"/>
    <row r="183" ht="24.9" customHeight="1" x14ac:dyDescent="0.25"/>
    <row r="184" ht="24.9" customHeight="1" x14ac:dyDescent="0.25"/>
    <row r="185" ht="24.9" customHeight="1" x14ac:dyDescent="0.25"/>
    <row r="186" ht="24.9" customHeight="1" x14ac:dyDescent="0.25"/>
    <row r="187" ht="24.9" customHeight="1" x14ac:dyDescent="0.25"/>
    <row r="188" ht="24.9" customHeight="1" x14ac:dyDescent="0.25"/>
    <row r="189" ht="24.9" customHeight="1" x14ac:dyDescent="0.25"/>
    <row r="190" ht="24.9" customHeight="1" x14ac:dyDescent="0.25"/>
    <row r="191" ht="24.9" customHeight="1" x14ac:dyDescent="0.25"/>
    <row r="192" ht="24.9" customHeight="1" x14ac:dyDescent="0.25"/>
    <row r="193" ht="24.9" customHeight="1" x14ac:dyDescent="0.25"/>
    <row r="194" ht="24.9" customHeight="1" x14ac:dyDescent="0.25"/>
    <row r="195" ht="24.9" customHeight="1" x14ac:dyDescent="0.25"/>
    <row r="196" ht="24.9" customHeight="1" x14ac:dyDescent="0.25"/>
    <row r="197" ht="24.9" customHeight="1" x14ac:dyDescent="0.25"/>
    <row r="198" ht="24.9" customHeight="1" x14ac:dyDescent="0.25"/>
    <row r="199" ht="24.9" customHeight="1" x14ac:dyDescent="0.25"/>
    <row r="200" ht="24.9" customHeight="1" x14ac:dyDescent="0.25"/>
    <row r="201" ht="24.9" customHeight="1" x14ac:dyDescent="0.25"/>
    <row r="202" ht="24.9" customHeight="1" x14ac:dyDescent="0.25"/>
    <row r="203" ht="24.9" customHeight="1" x14ac:dyDescent="0.25"/>
    <row r="204" ht="24.9" customHeight="1" x14ac:dyDescent="0.25"/>
    <row r="205" ht="24.9" customHeight="1" x14ac:dyDescent="0.25"/>
    <row r="206" ht="24.9" customHeight="1" x14ac:dyDescent="0.25"/>
    <row r="207" ht="24.9" customHeight="1" x14ac:dyDescent="0.25"/>
    <row r="208" ht="24.9" customHeight="1" x14ac:dyDescent="0.25"/>
    <row r="209" ht="24.9" customHeight="1" x14ac:dyDescent="0.25"/>
    <row r="210" ht="24.9" customHeight="1" x14ac:dyDescent="0.25"/>
    <row r="211" ht="24.9" customHeight="1" x14ac:dyDescent="0.25"/>
    <row r="212" ht="24.9" customHeight="1" x14ac:dyDescent="0.25"/>
    <row r="213" ht="24.9" customHeight="1" x14ac:dyDescent="0.25"/>
    <row r="214" ht="24.9" customHeight="1" x14ac:dyDescent="0.25"/>
    <row r="215" ht="24.9" customHeight="1" x14ac:dyDescent="0.25"/>
    <row r="216" ht="24.9" customHeight="1" x14ac:dyDescent="0.25"/>
    <row r="217" ht="24.9" customHeight="1" x14ac:dyDescent="0.25"/>
    <row r="218" ht="24.9" customHeight="1" x14ac:dyDescent="0.25"/>
    <row r="219" ht="24.9" customHeight="1" x14ac:dyDescent="0.25"/>
    <row r="220" ht="24.9" customHeight="1" x14ac:dyDescent="0.25"/>
    <row r="221" ht="24.9" customHeight="1" x14ac:dyDescent="0.25"/>
    <row r="222" ht="24.9" customHeight="1" x14ac:dyDescent="0.25"/>
    <row r="223" ht="24.9" customHeight="1" x14ac:dyDescent="0.25"/>
    <row r="224" ht="24.9" customHeight="1" x14ac:dyDescent="0.25"/>
    <row r="225" ht="24.9" customHeight="1" x14ac:dyDescent="0.25"/>
    <row r="226" ht="24.9" customHeight="1" x14ac:dyDescent="0.25"/>
    <row r="227" ht="24.9" customHeight="1" x14ac:dyDescent="0.25"/>
    <row r="228" ht="24.9" customHeight="1" x14ac:dyDescent="0.25"/>
    <row r="229" ht="24.9" customHeight="1" x14ac:dyDescent="0.25"/>
    <row r="230" ht="24.9" customHeight="1" x14ac:dyDescent="0.25"/>
    <row r="231" ht="24.9" customHeight="1" x14ac:dyDescent="0.25"/>
    <row r="232" ht="24.9" customHeight="1" x14ac:dyDescent="0.25"/>
    <row r="233" ht="24.9" customHeight="1" x14ac:dyDescent="0.25"/>
    <row r="234" ht="24.9" customHeight="1" x14ac:dyDescent="0.25"/>
    <row r="235" ht="24.9" customHeight="1" x14ac:dyDescent="0.25"/>
    <row r="236" ht="24.9" customHeight="1" x14ac:dyDescent="0.25"/>
    <row r="237" ht="24.9" customHeight="1" x14ac:dyDescent="0.25"/>
    <row r="238" ht="24.9" customHeight="1" x14ac:dyDescent="0.25"/>
    <row r="239" ht="24.9" customHeight="1" x14ac:dyDescent="0.25"/>
    <row r="240" ht="24.9" customHeight="1" x14ac:dyDescent="0.25"/>
    <row r="241" ht="24.9" customHeight="1" x14ac:dyDescent="0.25"/>
    <row r="242" ht="24.9" customHeight="1" x14ac:dyDescent="0.25"/>
    <row r="243" ht="24.9" customHeight="1" x14ac:dyDescent="0.25"/>
    <row r="244" ht="24.9" customHeight="1" x14ac:dyDescent="0.25"/>
    <row r="245" ht="24.9" customHeight="1" x14ac:dyDescent="0.25"/>
    <row r="246" ht="24.9" customHeight="1" x14ac:dyDescent="0.25"/>
    <row r="247" ht="24.9" customHeight="1" x14ac:dyDescent="0.25"/>
    <row r="248" ht="24.9" customHeight="1" x14ac:dyDescent="0.25"/>
    <row r="249" ht="24.9" customHeight="1" x14ac:dyDescent="0.25"/>
    <row r="250" ht="24.9" customHeight="1" x14ac:dyDescent="0.25"/>
    <row r="251" ht="24.9" customHeight="1" x14ac:dyDescent="0.25"/>
    <row r="252" ht="24.9" customHeight="1" x14ac:dyDescent="0.25"/>
    <row r="253" ht="24.9" customHeight="1" x14ac:dyDescent="0.25"/>
    <row r="254" ht="24.9" customHeight="1" x14ac:dyDescent="0.25"/>
    <row r="255" ht="24.9" customHeight="1" x14ac:dyDescent="0.25"/>
    <row r="256" ht="24.9" customHeight="1" x14ac:dyDescent="0.25"/>
    <row r="257" ht="24.9" customHeight="1" x14ac:dyDescent="0.25"/>
    <row r="258" ht="24.9" customHeight="1" x14ac:dyDescent="0.25"/>
    <row r="259" ht="24.9" customHeight="1" x14ac:dyDescent="0.25"/>
    <row r="260" ht="24.9" customHeight="1" x14ac:dyDescent="0.25"/>
    <row r="261" ht="24.9" customHeight="1" x14ac:dyDescent="0.25"/>
    <row r="262" ht="24.9" customHeight="1" x14ac:dyDescent="0.25"/>
    <row r="263" ht="24.9" customHeight="1" x14ac:dyDescent="0.25"/>
    <row r="264" ht="24.9" customHeight="1" x14ac:dyDescent="0.25"/>
    <row r="265" ht="24.9" customHeight="1" x14ac:dyDescent="0.25"/>
    <row r="266" ht="24.9" customHeight="1" x14ac:dyDescent="0.25"/>
    <row r="267" ht="24.9" customHeight="1" x14ac:dyDescent="0.25"/>
    <row r="268" ht="24.9" customHeight="1" x14ac:dyDescent="0.25"/>
    <row r="269" ht="24.9" customHeight="1" x14ac:dyDescent="0.25"/>
    <row r="270" ht="24.9" customHeight="1" x14ac:dyDescent="0.25"/>
    <row r="271" ht="24.9" customHeight="1" x14ac:dyDescent="0.25"/>
    <row r="272" ht="24.9" customHeight="1" x14ac:dyDescent="0.25"/>
    <row r="273" ht="24.9" customHeight="1" x14ac:dyDescent="0.25"/>
    <row r="274" ht="24.9" customHeight="1" x14ac:dyDescent="0.25"/>
    <row r="275" ht="24.9" customHeight="1" x14ac:dyDescent="0.25"/>
    <row r="276" ht="24.9" customHeight="1" x14ac:dyDescent="0.25"/>
    <row r="277" ht="24.9" customHeight="1" x14ac:dyDescent="0.25"/>
    <row r="278" ht="24.9" customHeight="1" x14ac:dyDescent="0.25"/>
    <row r="279" ht="24.9" customHeight="1" x14ac:dyDescent="0.25"/>
    <row r="280" ht="24.9" customHeight="1" x14ac:dyDescent="0.25"/>
    <row r="281" ht="24.9" customHeight="1" x14ac:dyDescent="0.25"/>
    <row r="282" ht="24.9" customHeight="1" x14ac:dyDescent="0.25"/>
    <row r="283" ht="24.9" customHeight="1" x14ac:dyDescent="0.25"/>
    <row r="284" ht="24.9" customHeight="1" x14ac:dyDescent="0.25"/>
    <row r="285" ht="24.9" customHeight="1" x14ac:dyDescent="0.25"/>
    <row r="286" ht="24.9" customHeight="1" x14ac:dyDescent="0.25"/>
    <row r="287" ht="24.9" customHeight="1" x14ac:dyDescent="0.25"/>
    <row r="288" ht="24.9" customHeight="1" x14ac:dyDescent="0.25"/>
    <row r="289" ht="24.9" customHeight="1" x14ac:dyDescent="0.25"/>
    <row r="290" ht="24.9" customHeight="1" x14ac:dyDescent="0.25"/>
    <row r="291" ht="24.9" customHeight="1" x14ac:dyDescent="0.25"/>
    <row r="292" ht="24.9" customHeight="1" x14ac:dyDescent="0.25"/>
    <row r="293" ht="24.9" customHeight="1" x14ac:dyDescent="0.25"/>
    <row r="294" ht="24.9" customHeight="1" x14ac:dyDescent="0.25"/>
    <row r="295" ht="24.9" customHeight="1" x14ac:dyDescent="0.25"/>
    <row r="296" ht="24.9" customHeight="1" x14ac:dyDescent="0.25"/>
    <row r="297" ht="24.9" customHeight="1" x14ac:dyDescent="0.25"/>
    <row r="298" ht="24.9" customHeight="1" x14ac:dyDescent="0.25"/>
    <row r="299" ht="24.9" customHeight="1" x14ac:dyDescent="0.25"/>
    <row r="300" ht="24.9" customHeight="1" x14ac:dyDescent="0.25"/>
    <row r="301" ht="24.9" customHeight="1" x14ac:dyDescent="0.25"/>
    <row r="302" ht="24.9" customHeight="1" x14ac:dyDescent="0.25"/>
    <row r="303" ht="24.9" customHeight="1" x14ac:dyDescent="0.25"/>
    <row r="304" ht="24.9" customHeight="1" x14ac:dyDescent="0.25"/>
    <row r="305" ht="24.9" customHeight="1" x14ac:dyDescent="0.25"/>
    <row r="306" ht="24.9" customHeight="1" x14ac:dyDescent="0.25"/>
    <row r="307" ht="24.9" customHeight="1" x14ac:dyDescent="0.25"/>
    <row r="308" ht="24.9" customHeight="1" x14ac:dyDescent="0.25"/>
    <row r="309" ht="24.9" customHeight="1" x14ac:dyDescent="0.25"/>
    <row r="310" ht="24.9" customHeight="1" x14ac:dyDescent="0.25"/>
    <row r="311" ht="24.9" customHeight="1" x14ac:dyDescent="0.25"/>
    <row r="312" ht="24.9" customHeight="1" x14ac:dyDescent="0.25"/>
    <row r="313" ht="24.9" customHeight="1" x14ac:dyDescent="0.25"/>
    <row r="314" ht="24.9" customHeight="1" x14ac:dyDescent="0.25"/>
    <row r="315" ht="24.9" customHeight="1" x14ac:dyDescent="0.25"/>
    <row r="316" ht="24.9" customHeight="1" x14ac:dyDescent="0.25"/>
    <row r="317" ht="24.9" customHeight="1" x14ac:dyDescent="0.25"/>
    <row r="318" ht="24.9" customHeight="1" x14ac:dyDescent="0.25"/>
    <row r="319" ht="24.9" customHeight="1" x14ac:dyDescent="0.25"/>
    <row r="320" ht="24.9" customHeight="1" x14ac:dyDescent="0.25"/>
    <row r="321" ht="24.9" customHeight="1" x14ac:dyDescent="0.25"/>
    <row r="322" ht="24.9" customHeight="1" x14ac:dyDescent="0.25"/>
    <row r="323" ht="24.9" customHeight="1" x14ac:dyDescent="0.25"/>
    <row r="324" ht="24.9" customHeight="1" x14ac:dyDescent="0.25"/>
    <row r="325" ht="24.9" customHeight="1" x14ac:dyDescent="0.25"/>
    <row r="326" ht="24.9" customHeight="1" x14ac:dyDescent="0.25"/>
    <row r="327" ht="24.9" customHeight="1" x14ac:dyDescent="0.25"/>
    <row r="328" ht="24.9" customHeight="1" x14ac:dyDescent="0.25"/>
    <row r="329" ht="24.9" customHeight="1" x14ac:dyDescent="0.25"/>
    <row r="330" ht="24.9" customHeight="1" x14ac:dyDescent="0.25"/>
    <row r="331" ht="24.9" customHeight="1" x14ac:dyDescent="0.25"/>
    <row r="332" ht="24.9" customHeight="1" x14ac:dyDescent="0.25"/>
    <row r="333" ht="24.9" customHeight="1" x14ac:dyDescent="0.25"/>
    <row r="334" ht="24.9" customHeight="1" x14ac:dyDescent="0.25"/>
    <row r="335" ht="24.9" customHeight="1" x14ac:dyDescent="0.25"/>
    <row r="336" ht="24.9" customHeight="1" x14ac:dyDescent="0.25"/>
    <row r="337" ht="24.9" customHeight="1" x14ac:dyDescent="0.25"/>
    <row r="338" ht="24.9" customHeight="1" x14ac:dyDescent="0.25"/>
    <row r="339" ht="24.9" customHeight="1" x14ac:dyDescent="0.25"/>
    <row r="340" ht="24.9" customHeight="1" x14ac:dyDescent="0.25"/>
    <row r="341" ht="24.9" customHeight="1" x14ac:dyDescent="0.25"/>
    <row r="342" ht="24.9" customHeight="1" x14ac:dyDescent="0.25"/>
    <row r="343" ht="24.9" customHeight="1" x14ac:dyDescent="0.25"/>
    <row r="344" ht="24.9" customHeight="1" x14ac:dyDescent="0.25"/>
    <row r="345" ht="24.9" customHeight="1" x14ac:dyDescent="0.25"/>
    <row r="346" ht="24.9" customHeight="1" x14ac:dyDescent="0.25"/>
    <row r="347" ht="24.9" customHeight="1" x14ac:dyDescent="0.25"/>
    <row r="348" ht="24.9" customHeight="1" x14ac:dyDescent="0.25"/>
    <row r="349" ht="24.9" customHeight="1" x14ac:dyDescent="0.25"/>
    <row r="350" ht="24.9" customHeight="1" x14ac:dyDescent="0.25"/>
    <row r="351" ht="24.9" customHeight="1" x14ac:dyDescent="0.25"/>
    <row r="352" ht="24.9" customHeight="1" x14ac:dyDescent="0.25"/>
    <row r="353" ht="24.9" customHeight="1" x14ac:dyDescent="0.25"/>
    <row r="354" ht="24.9" customHeight="1" x14ac:dyDescent="0.25"/>
    <row r="355" ht="24.9" customHeight="1" x14ac:dyDescent="0.25"/>
    <row r="356" ht="24.9" customHeight="1" x14ac:dyDescent="0.25"/>
    <row r="357" ht="24.9" customHeight="1" x14ac:dyDescent="0.25"/>
    <row r="358" ht="24.9" customHeight="1" x14ac:dyDescent="0.25"/>
    <row r="359" ht="24.9" customHeight="1" x14ac:dyDescent="0.25"/>
    <row r="360" ht="24.9" customHeight="1" x14ac:dyDescent="0.25"/>
    <row r="361" ht="24.9" customHeight="1" x14ac:dyDescent="0.25"/>
    <row r="362" ht="24.9" customHeight="1" x14ac:dyDescent="0.25"/>
    <row r="363" ht="24.9" customHeight="1" x14ac:dyDescent="0.25"/>
    <row r="364" ht="24.9" customHeight="1" x14ac:dyDescent="0.25"/>
    <row r="365" ht="24.9" customHeight="1" x14ac:dyDescent="0.25"/>
    <row r="366" ht="24.9" customHeight="1" x14ac:dyDescent="0.25"/>
    <row r="367" ht="24.9" customHeight="1" x14ac:dyDescent="0.25"/>
    <row r="368" ht="24.9" customHeight="1" x14ac:dyDescent="0.25"/>
    <row r="369" ht="24.9" customHeight="1" x14ac:dyDescent="0.25"/>
    <row r="370" ht="24.9" customHeight="1" x14ac:dyDescent="0.25"/>
    <row r="371" ht="24.9" customHeight="1" x14ac:dyDescent="0.25"/>
    <row r="372" ht="24.9" customHeight="1" x14ac:dyDescent="0.25"/>
    <row r="373" ht="24.9" customHeight="1" x14ac:dyDescent="0.25"/>
    <row r="374" ht="24.9" customHeight="1" x14ac:dyDescent="0.25"/>
    <row r="375" ht="24.9" customHeight="1" x14ac:dyDescent="0.25"/>
    <row r="376" ht="24.9" customHeight="1" x14ac:dyDescent="0.25"/>
    <row r="377" ht="24.9" customHeight="1" x14ac:dyDescent="0.25"/>
    <row r="378" ht="24.9" customHeight="1" x14ac:dyDescent="0.25"/>
    <row r="379" ht="24.9" customHeight="1" x14ac:dyDescent="0.25"/>
    <row r="380" ht="24.9" customHeight="1" x14ac:dyDescent="0.25"/>
    <row r="381" ht="24.9" customHeight="1" x14ac:dyDescent="0.25"/>
    <row r="382" ht="24.9" customHeight="1" x14ac:dyDescent="0.25"/>
    <row r="383" ht="24.9" customHeight="1" x14ac:dyDescent="0.25"/>
    <row r="384" ht="24.9" customHeight="1" x14ac:dyDescent="0.25"/>
    <row r="385" ht="24.9" customHeight="1" x14ac:dyDescent="0.25"/>
    <row r="386" ht="24.9" customHeight="1" x14ac:dyDescent="0.25"/>
    <row r="387" ht="24.9" customHeight="1" x14ac:dyDescent="0.25"/>
    <row r="388" ht="24.9" customHeight="1" x14ac:dyDescent="0.25"/>
    <row r="389" ht="24.9" customHeight="1" x14ac:dyDescent="0.25"/>
    <row r="390" ht="24.9" customHeight="1" x14ac:dyDescent="0.25"/>
    <row r="391" ht="24.9" customHeight="1" x14ac:dyDescent="0.25"/>
    <row r="392" ht="24.9" customHeight="1" x14ac:dyDescent="0.25"/>
    <row r="393" ht="24.9" customHeight="1" x14ac:dyDescent="0.25"/>
    <row r="394" ht="24.9" customHeight="1" x14ac:dyDescent="0.25"/>
  </sheetData>
  <mergeCells count="23">
    <mergeCell ref="A33:A43"/>
    <mergeCell ref="N2:P2"/>
    <mergeCell ref="A3:A5"/>
    <mergeCell ref="A2:B2"/>
    <mergeCell ref="C2:C5"/>
    <mergeCell ref="E2:G2"/>
    <mergeCell ref="H2:J2"/>
    <mergeCell ref="K2:M2"/>
    <mergeCell ref="C33:C34"/>
    <mergeCell ref="C35:C36"/>
    <mergeCell ref="C37:C38"/>
    <mergeCell ref="C39:C40"/>
    <mergeCell ref="AA1:AB1"/>
    <mergeCell ref="AC1:AD1"/>
    <mergeCell ref="A23:A24"/>
    <mergeCell ref="A25:A28"/>
    <mergeCell ref="A29:A32"/>
    <mergeCell ref="A6:A22"/>
    <mergeCell ref="B20:B22"/>
    <mergeCell ref="Q2:S2"/>
    <mergeCell ref="T2:V2"/>
    <mergeCell ref="A1:B1"/>
    <mergeCell ref="X3:Y3"/>
  </mergeCells>
  <pageMargins left="0" right="0" top="0" bottom="0" header="0" footer="0"/>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47"/>
  <sheetViews>
    <sheetView zoomScale="70" zoomScaleNormal="70" workbookViewId="0">
      <pane xSplit="1" ySplit="3" topLeftCell="AM25" activePane="bottomRight" state="frozen"/>
      <selection pane="topRight" activeCell="B1" sqref="B1"/>
      <selection pane="bottomLeft" activeCell="A4" sqref="A4"/>
      <selection pane="bottomRight" activeCell="BJ34" sqref="BJ34"/>
    </sheetView>
  </sheetViews>
  <sheetFormatPr baseColWidth="10" defaultRowHeight="13.2" x14ac:dyDescent="0.25"/>
  <cols>
    <col min="10" max="10" width="49.88671875" customWidth="1"/>
    <col min="11" max="12" width="6.5546875" bestFit="1" customWidth="1"/>
    <col min="13" max="13" width="4.5546875" bestFit="1" customWidth="1"/>
    <col min="14" max="16" width="6.5546875" bestFit="1" customWidth="1"/>
    <col min="17" max="17" width="4.5546875" bestFit="1" customWidth="1"/>
    <col min="18" max="20" width="6.5546875" bestFit="1" customWidth="1"/>
    <col min="21" max="21" width="4.5546875" bestFit="1" customWidth="1"/>
    <col min="22" max="24" width="6.5546875" bestFit="1" customWidth="1"/>
    <col min="25" max="25" width="4.5546875" bestFit="1" customWidth="1"/>
    <col min="26" max="28" width="6.5546875" bestFit="1" customWidth="1"/>
    <col min="29" max="29" width="4.5546875" bestFit="1" customWidth="1"/>
    <col min="30" max="32" width="6.5546875" bestFit="1" customWidth="1"/>
    <col min="33" max="33" width="4.5546875" bestFit="1" customWidth="1"/>
    <col min="34" max="34" width="6.5546875" bestFit="1" customWidth="1"/>
    <col min="35" max="35" width="9.5546875" customWidth="1"/>
    <col min="36" max="36" width="34.6640625" customWidth="1"/>
    <col min="37" max="37" width="5.33203125" customWidth="1"/>
    <col min="39" max="39" width="8.33203125" customWidth="1"/>
    <col min="40" max="40" width="8.109375" customWidth="1"/>
    <col min="41" max="41" width="9.21875" customWidth="1"/>
    <col min="42" max="61" width="8.44140625" customWidth="1"/>
    <col min="63" max="63" width="19.33203125" customWidth="1"/>
  </cols>
  <sheetData>
    <row r="1" spans="1:67" ht="27" customHeight="1" thickBot="1" x14ac:dyDescent="0.3">
      <c r="A1" s="1250" t="s">
        <v>153</v>
      </c>
      <c r="B1" s="1250"/>
      <c r="C1" s="1250"/>
      <c r="D1" s="1250"/>
      <c r="E1" s="3"/>
      <c r="F1" s="3"/>
      <c r="G1" s="3"/>
      <c r="H1" s="3"/>
      <c r="I1" s="114"/>
      <c r="J1" s="114"/>
      <c r="K1" s="3"/>
      <c r="L1" s="3"/>
      <c r="M1" s="3"/>
      <c r="N1" s="3"/>
      <c r="O1" s="3"/>
      <c r="P1" s="3"/>
      <c r="Q1" s="3"/>
      <c r="R1" s="3"/>
      <c r="S1" s="3"/>
      <c r="T1" s="3"/>
      <c r="U1" s="3"/>
      <c r="V1" s="3"/>
      <c r="W1" s="3"/>
      <c r="X1" s="3"/>
      <c r="Y1" s="3"/>
      <c r="Z1" s="3"/>
      <c r="AA1" s="3"/>
      <c r="AB1" s="3"/>
      <c r="AC1" s="3"/>
      <c r="AD1" s="3"/>
      <c r="AE1" s="3"/>
      <c r="AF1" s="3"/>
      <c r="AG1" s="3"/>
      <c r="AH1" s="3"/>
      <c r="AI1" s="3"/>
      <c r="BH1" s="1157" t="s">
        <v>272</v>
      </c>
      <c r="BK1" s="1086" t="s">
        <v>270</v>
      </c>
      <c r="BL1" s="1228" t="s">
        <v>260</v>
      </c>
      <c r="BM1" s="1229"/>
      <c r="BN1" s="1228" t="s">
        <v>261</v>
      </c>
      <c r="BO1" s="1229"/>
    </row>
    <row r="2" spans="1:67" ht="10.8" customHeight="1" thickBot="1" x14ac:dyDescent="0.3">
      <c r="A2" s="1256"/>
      <c r="B2" s="1257"/>
      <c r="C2" s="401"/>
      <c r="D2" s="39">
        <v>2008</v>
      </c>
      <c r="E2" s="39">
        <v>2009</v>
      </c>
      <c r="F2" s="39">
        <v>2010</v>
      </c>
      <c r="G2" s="39">
        <v>2011</v>
      </c>
      <c r="H2" s="58">
        <v>2012</v>
      </c>
      <c r="I2" s="115"/>
      <c r="J2" s="373"/>
      <c r="K2" s="1247">
        <v>2013</v>
      </c>
      <c r="L2" s="1247"/>
      <c r="M2" s="1247"/>
      <c r="N2" s="1247"/>
      <c r="O2" s="1248">
        <v>2014</v>
      </c>
      <c r="P2" s="1247"/>
      <c r="Q2" s="1247"/>
      <c r="R2" s="1249"/>
      <c r="S2" s="1247">
        <v>2015</v>
      </c>
      <c r="T2" s="1247"/>
      <c r="U2" s="1247"/>
      <c r="V2" s="1247"/>
      <c r="W2" s="1248">
        <v>2016</v>
      </c>
      <c r="X2" s="1247"/>
      <c r="Y2" s="1247"/>
      <c r="Z2" s="1249"/>
      <c r="AA2" s="1247">
        <v>2017</v>
      </c>
      <c r="AB2" s="1247"/>
      <c r="AC2" s="1247"/>
      <c r="AD2" s="1247"/>
      <c r="AE2" s="1248">
        <v>2018</v>
      </c>
      <c r="AF2" s="1247"/>
      <c r="AG2" s="1247"/>
      <c r="AH2" s="1249"/>
      <c r="AI2" s="2"/>
      <c r="AL2" s="1248">
        <v>2019</v>
      </c>
      <c r="AM2" s="1247"/>
      <c r="AN2" s="1247"/>
      <c r="AO2" s="1249"/>
      <c r="AP2" s="1248">
        <v>2020</v>
      </c>
      <c r="AQ2" s="1247"/>
      <c r="AR2" s="1247"/>
      <c r="AS2" s="1249"/>
      <c r="AT2" s="1247">
        <v>2021</v>
      </c>
      <c r="AU2" s="1247"/>
      <c r="AV2" s="1247"/>
      <c r="AW2" s="1247"/>
      <c r="AX2" s="1248">
        <v>2022</v>
      </c>
      <c r="AY2" s="1247"/>
      <c r="AZ2" s="1247"/>
      <c r="BA2" s="1249"/>
      <c r="BB2" s="1247">
        <v>2023</v>
      </c>
      <c r="BC2" s="1247"/>
      <c r="BD2" s="1247"/>
      <c r="BE2" s="1247"/>
      <c r="BF2" s="1248">
        <v>2024</v>
      </c>
      <c r="BG2" s="1247"/>
      <c r="BH2" s="1247"/>
      <c r="BI2" s="1249"/>
      <c r="BK2" s="1087" t="s">
        <v>259</v>
      </c>
      <c r="BL2" s="1083" t="s">
        <v>262</v>
      </c>
      <c r="BM2" s="1083" t="s">
        <v>263</v>
      </c>
      <c r="BN2" s="1083" t="s">
        <v>262</v>
      </c>
      <c r="BO2" s="1083" t="s">
        <v>263</v>
      </c>
    </row>
    <row r="3" spans="1:67" ht="25.2" customHeight="1" thickBot="1" x14ac:dyDescent="0.3">
      <c r="A3" s="1188" t="s">
        <v>23</v>
      </c>
      <c r="B3" s="100"/>
      <c r="C3" s="452" t="s">
        <v>174</v>
      </c>
      <c r="D3" s="236"/>
      <c r="E3" s="236"/>
      <c r="F3" s="236"/>
      <c r="G3" s="236"/>
      <c r="H3" s="237"/>
      <c r="I3" s="238"/>
      <c r="J3" s="451" t="s">
        <v>189</v>
      </c>
      <c r="K3" s="305" t="s">
        <v>31</v>
      </c>
      <c r="L3" s="301" t="s">
        <v>33</v>
      </c>
      <c r="M3" s="301" t="s">
        <v>68</v>
      </c>
      <c r="N3" s="302" t="s">
        <v>15</v>
      </c>
      <c r="O3" s="303" t="s">
        <v>31</v>
      </c>
      <c r="P3" s="301" t="s">
        <v>33</v>
      </c>
      <c r="Q3" s="301" t="s">
        <v>68</v>
      </c>
      <c r="R3" s="304" t="s">
        <v>15</v>
      </c>
      <c r="S3" s="305" t="s">
        <v>31</v>
      </c>
      <c r="T3" s="301" t="s">
        <v>33</v>
      </c>
      <c r="U3" s="301" t="s">
        <v>68</v>
      </c>
      <c r="V3" s="302" t="s">
        <v>15</v>
      </c>
      <c r="W3" s="303" t="s">
        <v>31</v>
      </c>
      <c r="X3" s="301" t="s">
        <v>33</v>
      </c>
      <c r="Y3" s="301" t="s">
        <v>68</v>
      </c>
      <c r="Z3" s="304" t="s">
        <v>15</v>
      </c>
      <c r="AA3" s="305" t="s">
        <v>31</v>
      </c>
      <c r="AB3" s="301" t="s">
        <v>33</v>
      </c>
      <c r="AC3" s="301" t="s">
        <v>68</v>
      </c>
      <c r="AD3" s="302" t="s">
        <v>15</v>
      </c>
      <c r="AE3" s="303" t="s">
        <v>31</v>
      </c>
      <c r="AF3" s="301" t="s">
        <v>33</v>
      </c>
      <c r="AG3" s="301" t="s">
        <v>68</v>
      </c>
      <c r="AH3" s="304" t="s">
        <v>15</v>
      </c>
      <c r="AI3" s="805"/>
      <c r="AJ3" s="1266" t="s">
        <v>217</v>
      </c>
      <c r="AK3" s="1033"/>
      <c r="AL3" s="303" t="s">
        <v>31</v>
      </c>
      <c r="AM3" s="301" t="s">
        <v>33</v>
      </c>
      <c r="AN3" s="301" t="s">
        <v>68</v>
      </c>
      <c r="AO3" s="304" t="s">
        <v>15</v>
      </c>
      <c r="AP3" s="303" t="s">
        <v>31</v>
      </c>
      <c r="AQ3" s="301" t="s">
        <v>33</v>
      </c>
      <c r="AR3" s="301" t="s">
        <v>68</v>
      </c>
      <c r="AS3" s="304" t="s">
        <v>15</v>
      </c>
      <c r="AT3" s="305" t="s">
        <v>31</v>
      </c>
      <c r="AU3" s="301" t="s">
        <v>33</v>
      </c>
      <c r="AV3" s="301" t="s">
        <v>68</v>
      </c>
      <c r="AW3" s="302" t="s">
        <v>15</v>
      </c>
      <c r="AX3" s="303" t="s">
        <v>31</v>
      </c>
      <c r="AY3" s="301" t="s">
        <v>33</v>
      </c>
      <c r="AZ3" s="301" t="s">
        <v>68</v>
      </c>
      <c r="BA3" s="304" t="s">
        <v>15</v>
      </c>
      <c r="BB3" s="305" t="s">
        <v>31</v>
      </c>
      <c r="BC3" s="301" t="s">
        <v>33</v>
      </c>
      <c r="BD3" s="301" t="s">
        <v>68</v>
      </c>
      <c r="BE3" s="302" t="s">
        <v>15</v>
      </c>
      <c r="BF3" s="303" t="s">
        <v>31</v>
      </c>
      <c r="BG3" s="301" t="s">
        <v>33</v>
      </c>
      <c r="BH3" s="301" t="s">
        <v>68</v>
      </c>
      <c r="BI3" s="304" t="s">
        <v>15</v>
      </c>
      <c r="BK3" s="1084" t="s">
        <v>266</v>
      </c>
      <c r="BL3" s="1085">
        <v>2.82</v>
      </c>
      <c r="BM3" s="1085">
        <v>10.08</v>
      </c>
      <c r="BN3" s="1085">
        <v>5.64</v>
      </c>
      <c r="BO3" s="1085">
        <v>20.16</v>
      </c>
    </row>
    <row r="4" spans="1:67" ht="13.8" x14ac:dyDescent="0.25">
      <c r="A4" s="1190"/>
      <c r="B4" s="14" t="s">
        <v>34</v>
      </c>
      <c r="C4" s="14"/>
      <c r="D4" s="62"/>
      <c r="E4" s="62"/>
      <c r="F4" s="62"/>
      <c r="G4" s="62"/>
      <c r="H4" s="63"/>
      <c r="I4" s="116"/>
      <c r="J4" s="652"/>
      <c r="K4" s="265">
        <v>3.4</v>
      </c>
      <c r="L4" s="239"/>
      <c r="M4" s="239"/>
      <c r="N4" s="266"/>
      <c r="O4" s="265">
        <v>3.6</v>
      </c>
      <c r="P4" s="239"/>
      <c r="Q4" s="239"/>
      <c r="R4" s="266"/>
      <c r="S4" s="265">
        <v>3.8</v>
      </c>
      <c r="T4" s="239"/>
      <c r="U4" s="239"/>
      <c r="V4" s="266"/>
      <c r="W4" s="300">
        <v>3.8</v>
      </c>
      <c r="X4" s="296"/>
      <c r="Y4" s="296"/>
      <c r="Z4" s="299"/>
      <c r="AA4" s="300">
        <v>3.8</v>
      </c>
      <c r="AB4" s="296"/>
      <c r="AC4" s="296"/>
      <c r="AD4" s="297"/>
      <c r="AE4" s="298">
        <v>3.8</v>
      </c>
      <c r="AF4" s="296"/>
      <c r="AG4" s="296"/>
      <c r="AH4" s="299"/>
      <c r="AI4" s="806"/>
      <c r="AJ4" s="1266"/>
      <c r="AK4" s="1033"/>
      <c r="AL4" s="265">
        <v>3.8</v>
      </c>
      <c r="AM4" s="239"/>
      <c r="AN4" s="239"/>
      <c r="AO4" s="266">
        <v>8.1999999999999993</v>
      </c>
      <c r="AP4" s="265">
        <v>3.8</v>
      </c>
      <c r="AQ4" s="239"/>
      <c r="AR4" s="239"/>
      <c r="AS4" s="266">
        <v>8.1999999999999993</v>
      </c>
      <c r="AT4" s="265">
        <v>3.8</v>
      </c>
      <c r="AU4" s="239"/>
      <c r="AV4" s="239"/>
      <c r="AW4" s="266">
        <v>8.1999999999999993</v>
      </c>
      <c r="AX4" s="265">
        <v>3.8</v>
      </c>
      <c r="AY4" s="239"/>
      <c r="AZ4" s="239"/>
      <c r="BA4" s="266">
        <v>8.1999999999999993</v>
      </c>
      <c r="BB4" s="265">
        <v>3.8</v>
      </c>
      <c r="BC4" s="239"/>
      <c r="BD4" s="239"/>
      <c r="BE4" s="266">
        <v>8.1999999999999993</v>
      </c>
      <c r="BF4" s="265">
        <v>3.8</v>
      </c>
      <c r="BG4" s="239"/>
      <c r="BH4" s="239"/>
      <c r="BI4" s="266">
        <v>8.1999999999999993</v>
      </c>
    </row>
    <row r="5" spans="1:67" ht="40.5" customHeight="1" x14ac:dyDescent="0.25">
      <c r="A5" s="1190"/>
      <c r="B5" s="18" t="s">
        <v>35</v>
      </c>
      <c r="C5" s="18"/>
      <c r="D5" s="64"/>
      <c r="E5" s="64"/>
      <c r="F5" s="64"/>
      <c r="G5" s="64"/>
      <c r="H5" s="65"/>
      <c r="I5" s="194" t="s">
        <v>80</v>
      </c>
      <c r="J5" s="653"/>
      <c r="K5" s="265"/>
      <c r="L5" s="239"/>
      <c r="M5" s="239">
        <v>6.7</v>
      </c>
      <c r="N5" s="266"/>
      <c r="O5" s="265"/>
      <c r="P5" s="239"/>
      <c r="Q5" s="239">
        <v>6.7</v>
      </c>
      <c r="R5" s="266"/>
      <c r="S5" s="265"/>
      <c r="T5" s="239"/>
      <c r="U5" s="239">
        <v>6.7</v>
      </c>
      <c r="V5" s="266"/>
      <c r="W5" s="252"/>
      <c r="X5" s="239"/>
      <c r="Y5" s="239">
        <v>4.5999999999999996</v>
      </c>
      <c r="Z5" s="266"/>
      <c r="AA5" s="252"/>
      <c r="AB5" s="239"/>
      <c r="AC5" s="239">
        <v>4.9000000000000004</v>
      </c>
      <c r="AD5" s="242"/>
      <c r="AE5" s="265"/>
      <c r="AF5" s="239"/>
      <c r="AG5" s="239">
        <v>4.9000000000000004</v>
      </c>
      <c r="AH5" s="266"/>
      <c r="AI5" s="806"/>
      <c r="AJ5" s="1266"/>
      <c r="AK5" s="1033"/>
      <c r="AL5" s="265"/>
      <c r="AM5" s="239"/>
      <c r="AN5" s="239"/>
      <c r="AO5" s="266"/>
      <c r="AP5" s="265"/>
      <c r="AQ5" s="239"/>
      <c r="AR5" s="239"/>
      <c r="AS5" s="266"/>
      <c r="AT5" s="265"/>
      <c r="AU5" s="239"/>
      <c r="AV5" s="239"/>
      <c r="AW5" s="266"/>
      <c r="AX5" s="265"/>
      <c r="AY5" s="239"/>
      <c r="AZ5" s="239"/>
      <c r="BA5" s="266"/>
      <c r="BB5" s="265"/>
      <c r="BC5" s="239"/>
      <c r="BD5" s="239"/>
      <c r="BE5" s="266"/>
      <c r="BF5" s="265"/>
      <c r="BG5" s="239"/>
      <c r="BH5" s="239"/>
      <c r="BI5" s="266"/>
    </row>
    <row r="6" spans="1:67" ht="15" customHeight="1" x14ac:dyDescent="0.25">
      <c r="A6" s="1190"/>
      <c r="B6" s="18" t="s">
        <v>36</v>
      </c>
      <c r="C6" s="18"/>
      <c r="D6" s="66"/>
      <c r="E6" s="66"/>
      <c r="F6" s="66"/>
      <c r="G6" s="66"/>
      <c r="H6" s="67"/>
      <c r="I6" s="1251" t="s">
        <v>82</v>
      </c>
      <c r="J6" s="654"/>
      <c r="K6" s="265"/>
      <c r="L6" s="239">
        <v>6.2</v>
      </c>
      <c r="M6" s="239"/>
      <c r="N6" s="266"/>
      <c r="O6" s="265"/>
      <c r="P6" s="239">
        <v>6.2</v>
      </c>
      <c r="Q6" s="239"/>
      <c r="R6" s="266"/>
      <c r="S6" s="265"/>
      <c r="T6" s="239">
        <v>6.2</v>
      </c>
      <c r="U6" s="239"/>
      <c r="V6" s="266"/>
      <c r="W6" s="252">
        <v>6</v>
      </c>
      <c r="X6" s="239"/>
      <c r="Y6" s="239"/>
      <c r="Z6" s="266"/>
      <c r="AA6" s="252"/>
      <c r="AB6" s="239">
        <v>6</v>
      </c>
      <c r="AC6" s="239"/>
      <c r="AD6" s="242"/>
      <c r="AE6" s="265"/>
      <c r="AF6" s="239">
        <v>6</v>
      </c>
      <c r="AG6" s="239"/>
      <c r="AH6" s="266"/>
      <c r="AI6" s="806"/>
      <c r="AJ6" s="1266"/>
      <c r="AK6" s="1033"/>
      <c r="AL6" s="265"/>
      <c r="AM6" s="239">
        <v>6.6</v>
      </c>
      <c r="AN6" s="239"/>
      <c r="AO6" s="266">
        <v>8.1999999999999993</v>
      </c>
      <c r="AP6" s="265"/>
      <c r="AQ6" s="239">
        <v>6.6</v>
      </c>
      <c r="AR6" s="239"/>
      <c r="AS6" s="266">
        <v>8.1999999999999993</v>
      </c>
      <c r="AT6" s="265"/>
      <c r="AU6" s="239">
        <v>6.6</v>
      </c>
      <c r="AV6" s="239"/>
      <c r="AW6" s="266">
        <v>8.1999999999999993</v>
      </c>
      <c r="AX6" s="265"/>
      <c r="AY6" s="239">
        <v>6.6</v>
      </c>
      <c r="AZ6" s="239"/>
      <c r="BA6" s="266">
        <v>8.1999999999999993</v>
      </c>
      <c r="BB6" s="265"/>
      <c r="BC6" s="239">
        <v>6.6</v>
      </c>
      <c r="BD6" s="239"/>
      <c r="BE6" s="266">
        <v>8.1999999999999993</v>
      </c>
      <c r="BF6" s="265"/>
      <c r="BG6" s="239">
        <v>6.6</v>
      </c>
      <c r="BH6" s="239"/>
      <c r="BI6" s="266">
        <v>8.1999999999999993</v>
      </c>
    </row>
    <row r="7" spans="1:67" ht="15" customHeight="1" x14ac:dyDescent="0.25">
      <c r="A7" s="1190"/>
      <c r="B7" s="9" t="s">
        <v>37</v>
      </c>
      <c r="C7" s="9"/>
      <c r="D7" s="66"/>
      <c r="E7" s="66"/>
      <c r="F7" s="66"/>
      <c r="G7" s="66"/>
      <c r="H7" s="67"/>
      <c r="I7" s="1252"/>
      <c r="J7" s="654"/>
      <c r="K7" s="265"/>
      <c r="L7" s="239"/>
      <c r="M7" s="239">
        <v>6.7</v>
      </c>
      <c r="N7" s="266"/>
      <c r="O7" s="265"/>
      <c r="P7" s="239"/>
      <c r="Q7" s="239">
        <v>6.7</v>
      </c>
      <c r="R7" s="266"/>
      <c r="S7" s="265"/>
      <c r="T7" s="239"/>
      <c r="U7" s="239">
        <v>6.7</v>
      </c>
      <c r="V7" s="266"/>
      <c r="W7" s="252"/>
      <c r="X7" s="239"/>
      <c r="Y7" s="239">
        <v>6.7</v>
      </c>
      <c r="Z7" s="266"/>
      <c r="AA7" s="252"/>
      <c r="AB7" s="239"/>
      <c r="AC7" s="239">
        <v>6.7</v>
      </c>
      <c r="AD7" s="242"/>
      <c r="AE7" s="265"/>
      <c r="AF7" s="239"/>
      <c r="AG7" s="239">
        <v>6.7</v>
      </c>
      <c r="AH7" s="266"/>
      <c r="AI7" s="806"/>
      <c r="AJ7" s="1266"/>
      <c r="AK7" s="1033"/>
      <c r="AL7" s="265"/>
      <c r="AM7" s="239"/>
      <c r="AN7" s="239"/>
      <c r="AO7" s="266"/>
      <c r="AP7" s="265"/>
      <c r="AQ7" s="239"/>
      <c r="AR7" s="239"/>
      <c r="AS7" s="266"/>
      <c r="AT7" s="265"/>
      <c r="AU7" s="239"/>
      <c r="AV7" s="239"/>
      <c r="AW7" s="266"/>
      <c r="AX7" s="265"/>
      <c r="AY7" s="239"/>
      <c r="AZ7" s="239"/>
      <c r="BA7" s="266"/>
      <c r="BB7" s="265"/>
      <c r="BC7" s="239"/>
      <c r="BD7" s="239"/>
      <c r="BE7" s="266"/>
      <c r="BF7" s="265"/>
      <c r="BG7" s="239"/>
      <c r="BH7" s="239"/>
      <c r="BI7" s="266"/>
    </row>
    <row r="8" spans="1:67" ht="15" customHeight="1" x14ac:dyDescent="0.25">
      <c r="A8" s="1190"/>
      <c r="B8" s="327" t="s">
        <v>149</v>
      </c>
      <c r="C8" s="327"/>
      <c r="D8" s="320"/>
      <c r="E8" s="320"/>
      <c r="F8" s="320"/>
      <c r="G8" s="320"/>
      <c r="H8" s="321"/>
      <c r="I8" s="1252"/>
      <c r="J8" s="654"/>
      <c r="K8" s="265"/>
      <c r="L8" s="239"/>
      <c r="M8" s="239"/>
      <c r="N8" s="266">
        <v>8.1999999999999993</v>
      </c>
      <c r="O8" s="265"/>
      <c r="P8" s="239"/>
      <c r="Q8" s="239"/>
      <c r="R8" s="266">
        <v>8.1999999999999993</v>
      </c>
      <c r="S8" s="265"/>
      <c r="T8" s="239"/>
      <c r="U8" s="239"/>
      <c r="V8" s="266">
        <v>8.1999999999999993</v>
      </c>
      <c r="W8" s="326"/>
      <c r="X8" s="322"/>
      <c r="Y8" s="322"/>
      <c r="Z8" s="325">
        <v>8.1999999999999993</v>
      </c>
      <c r="AA8" s="326"/>
      <c r="AB8" s="322"/>
      <c r="AC8" s="322"/>
      <c r="AD8" s="323">
        <v>8.1999999999999993</v>
      </c>
      <c r="AE8" s="324"/>
      <c r="AF8" s="322"/>
      <c r="AG8" s="322"/>
      <c r="AH8" s="325">
        <v>8.1999999999999993</v>
      </c>
      <c r="AI8" s="806"/>
      <c r="AJ8" s="1266"/>
      <c r="AK8" s="1033"/>
      <c r="AL8" s="265"/>
      <c r="AM8" s="239"/>
      <c r="AN8" s="239"/>
      <c r="AO8" s="266"/>
      <c r="AP8" s="265"/>
      <c r="AQ8" s="239"/>
      <c r="AR8" s="239"/>
      <c r="AS8" s="266"/>
      <c r="AT8" s="265"/>
      <c r="AU8" s="239"/>
      <c r="AV8" s="239"/>
      <c r="AW8" s="266"/>
      <c r="AX8" s="265"/>
      <c r="AY8" s="239"/>
      <c r="AZ8" s="239"/>
      <c r="BA8" s="266"/>
      <c r="BB8" s="265"/>
      <c r="BC8" s="239"/>
      <c r="BD8" s="239"/>
      <c r="BE8" s="266"/>
      <c r="BF8" s="265"/>
      <c r="BG8" s="239"/>
      <c r="BH8" s="239"/>
      <c r="BI8" s="266"/>
    </row>
    <row r="9" spans="1:67" ht="15" customHeight="1" thickBot="1" x14ac:dyDescent="0.3">
      <c r="A9" s="1189"/>
      <c r="B9" s="51" t="s">
        <v>150</v>
      </c>
      <c r="C9" s="51"/>
      <c r="D9" s="70"/>
      <c r="E9" s="70"/>
      <c r="F9" s="70"/>
      <c r="G9" s="70"/>
      <c r="H9" s="70"/>
      <c r="I9" s="1253"/>
      <c r="J9" s="654"/>
      <c r="K9" s="267"/>
      <c r="L9" s="240"/>
      <c r="M9" s="240"/>
      <c r="N9" s="266">
        <v>8.1999999999999993</v>
      </c>
      <c r="O9" s="265"/>
      <c r="P9" s="239"/>
      <c r="Q9" s="239"/>
      <c r="R9" s="266">
        <v>8.1999999999999993</v>
      </c>
      <c r="S9" s="265"/>
      <c r="T9" s="239"/>
      <c r="U9" s="239"/>
      <c r="V9" s="266">
        <v>8.1999999999999993</v>
      </c>
      <c r="W9" s="326"/>
      <c r="X9" s="322"/>
      <c r="Y9" s="322"/>
      <c r="Z9" s="325">
        <v>8.1999999999999993</v>
      </c>
      <c r="AA9" s="326"/>
      <c r="AB9" s="322"/>
      <c r="AC9" s="322"/>
      <c r="AD9" s="323">
        <v>8.1999999999999993</v>
      </c>
      <c r="AE9" s="324"/>
      <c r="AF9" s="322"/>
      <c r="AG9" s="322"/>
      <c r="AH9" s="325">
        <v>8.1999999999999993</v>
      </c>
      <c r="AI9" s="806"/>
      <c r="AJ9" s="1266"/>
      <c r="AK9" s="1033"/>
      <c r="AL9" s="267"/>
      <c r="AM9" s="240"/>
      <c r="AN9" s="240"/>
      <c r="AO9" s="268"/>
      <c r="AP9" s="267"/>
      <c r="AQ9" s="240"/>
      <c r="AR9" s="240"/>
      <c r="AS9" s="268"/>
      <c r="AT9" s="267"/>
      <c r="AU9" s="240"/>
      <c r="AV9" s="240"/>
      <c r="AW9" s="268"/>
      <c r="AX9" s="267"/>
      <c r="AY9" s="240"/>
      <c r="AZ9" s="240"/>
      <c r="BA9" s="268"/>
      <c r="BB9" s="267"/>
      <c r="BC9" s="240"/>
      <c r="BD9" s="240"/>
      <c r="BE9" s="268"/>
      <c r="BF9" s="267"/>
      <c r="BG9" s="240"/>
      <c r="BH9" s="240"/>
      <c r="BI9" s="268"/>
    </row>
    <row r="10" spans="1:67" ht="13.8" x14ac:dyDescent="0.25">
      <c r="A10" s="1198" t="s">
        <v>24</v>
      </c>
      <c r="B10" s="14" t="s">
        <v>53</v>
      </c>
      <c r="C10" s="15"/>
      <c r="D10" s="413"/>
      <c r="E10" s="413"/>
      <c r="F10" s="413"/>
      <c r="G10" s="413"/>
      <c r="H10" s="414"/>
      <c r="I10" s="119"/>
      <c r="K10" s="671" t="s">
        <v>213</v>
      </c>
      <c r="L10" s="671"/>
      <c r="M10" s="671"/>
      <c r="N10" s="672"/>
      <c r="O10" s="673">
        <v>4</v>
      </c>
      <c r="P10" s="671"/>
      <c r="Q10" s="671"/>
      <c r="R10" s="672"/>
      <c r="S10" s="674">
        <v>4.0999999999999996</v>
      </c>
      <c r="T10" s="675"/>
      <c r="U10" s="675"/>
      <c r="V10" s="676"/>
      <c r="W10" s="674">
        <v>4.2</v>
      </c>
      <c r="X10" s="675"/>
      <c r="Y10" s="675"/>
      <c r="Z10" s="676"/>
      <c r="AA10" s="674">
        <v>4.3</v>
      </c>
      <c r="AB10" s="675"/>
      <c r="AC10" s="675"/>
      <c r="AD10" s="676"/>
      <c r="AE10" s="674">
        <v>4.4000000000000004</v>
      </c>
      <c r="AF10" s="675"/>
      <c r="AG10" s="675"/>
      <c r="AH10" s="676"/>
      <c r="AI10" s="807"/>
      <c r="AJ10" s="428" t="s">
        <v>186</v>
      </c>
      <c r="AK10" s="1043"/>
      <c r="AL10" s="812">
        <v>4.4000000000000004</v>
      </c>
      <c r="AM10" s="808"/>
      <c r="AN10" s="722"/>
      <c r="AO10" s="723"/>
      <c r="AP10" s="812">
        <v>4.4000000000000004</v>
      </c>
      <c r="AQ10" s="808"/>
      <c r="AR10" s="722"/>
      <c r="AS10" s="723"/>
      <c r="AT10" s="812">
        <v>4.4000000000000004</v>
      </c>
      <c r="AU10" s="808"/>
      <c r="AV10" s="722"/>
      <c r="AW10" s="723"/>
      <c r="AX10" s="812">
        <v>4.4000000000000004</v>
      </c>
      <c r="AY10" s="808"/>
      <c r="AZ10" s="722"/>
      <c r="BA10" s="723"/>
      <c r="BB10" s="812">
        <v>4.4000000000000004</v>
      </c>
      <c r="BC10" s="808"/>
      <c r="BD10" s="722"/>
      <c r="BE10" s="723"/>
      <c r="BF10" s="812">
        <v>5.3</v>
      </c>
      <c r="BG10" s="808"/>
      <c r="BH10" s="1008"/>
      <c r="BI10" s="1009"/>
      <c r="BJ10">
        <v>1.2</v>
      </c>
    </row>
    <row r="11" spans="1:67" ht="13.8" x14ac:dyDescent="0.25">
      <c r="A11" s="1200"/>
      <c r="B11" s="18" t="s">
        <v>54</v>
      </c>
      <c r="C11" s="18"/>
      <c r="D11" s="415"/>
      <c r="E11" s="415"/>
      <c r="F11" s="415"/>
      <c r="G11" s="415"/>
      <c r="H11" s="416"/>
      <c r="I11" s="120"/>
      <c r="K11" s="655"/>
      <c r="L11" s="655">
        <v>2.4</v>
      </c>
      <c r="M11" s="655"/>
      <c r="N11" s="656"/>
      <c r="O11" s="657"/>
      <c r="P11" s="655">
        <v>2.4</v>
      </c>
      <c r="Q11" s="655"/>
      <c r="R11" s="657"/>
      <c r="S11" s="658"/>
      <c r="T11" s="655">
        <v>2.5</v>
      </c>
      <c r="U11" s="655"/>
      <c r="V11" s="656"/>
      <c r="W11" s="658"/>
      <c r="X11" s="655">
        <v>2.5</v>
      </c>
      <c r="Y11" s="655"/>
      <c r="Z11" s="656"/>
      <c r="AA11" s="658"/>
      <c r="AB11" s="655">
        <v>2.6</v>
      </c>
      <c r="AC11" s="655"/>
      <c r="AD11" s="656"/>
      <c r="AE11" s="658"/>
      <c r="AF11" s="655">
        <v>2.6</v>
      </c>
      <c r="AG11" s="655"/>
      <c r="AH11" s="656"/>
      <c r="AI11" s="26"/>
      <c r="AJ11" s="427" t="s">
        <v>175</v>
      </c>
      <c r="AK11" s="1044"/>
      <c r="AL11" s="813"/>
      <c r="AM11" s="809">
        <v>2.6</v>
      </c>
      <c r="AN11" s="724"/>
      <c r="AO11" s="725"/>
      <c r="AP11" s="813"/>
      <c r="AQ11" s="809">
        <v>2.6</v>
      </c>
      <c r="AR11" s="724"/>
      <c r="AS11" s="725"/>
      <c r="AT11" s="813"/>
      <c r="AU11" s="809">
        <v>2.6</v>
      </c>
      <c r="AV11" s="724"/>
      <c r="AW11" s="725"/>
      <c r="AX11" s="813"/>
      <c r="AY11" s="809">
        <v>2.6</v>
      </c>
      <c r="AZ11" s="724"/>
      <c r="BA11" s="725"/>
      <c r="BB11" s="813"/>
      <c r="BC11" s="809">
        <v>2.6</v>
      </c>
      <c r="BD11" s="724"/>
      <c r="BE11" s="725"/>
      <c r="BF11" s="813"/>
      <c r="BG11" s="809">
        <v>3.1</v>
      </c>
      <c r="BH11" s="1010"/>
      <c r="BI11" s="1011"/>
    </row>
    <row r="12" spans="1:67" ht="26.4" x14ac:dyDescent="0.25">
      <c r="A12" s="1200"/>
      <c r="B12" s="18" t="s">
        <v>57</v>
      </c>
      <c r="C12" s="18"/>
      <c r="D12" s="415"/>
      <c r="E12" s="415"/>
      <c r="F12" s="415"/>
      <c r="G12" s="415"/>
      <c r="H12" s="416"/>
      <c r="I12" s="120"/>
      <c r="J12" s="427" t="s">
        <v>176</v>
      </c>
      <c r="K12" s="655">
        <v>2.7</v>
      </c>
      <c r="L12" s="655"/>
      <c r="M12" s="655"/>
      <c r="N12" s="657"/>
      <c r="O12" s="658">
        <v>3</v>
      </c>
      <c r="P12" s="655"/>
      <c r="Q12" s="655"/>
      <c r="R12" s="657"/>
      <c r="S12" s="658">
        <v>3.4</v>
      </c>
      <c r="T12" s="655"/>
      <c r="U12" s="655"/>
      <c r="V12" s="656"/>
      <c r="W12" s="658">
        <v>3.7</v>
      </c>
      <c r="X12" s="655"/>
      <c r="Y12" s="655"/>
      <c r="Z12" s="656"/>
      <c r="AA12" s="658">
        <v>3.7</v>
      </c>
      <c r="AB12" s="655"/>
      <c r="AC12" s="655"/>
      <c r="AD12" s="656"/>
      <c r="AE12" s="658">
        <v>4</v>
      </c>
      <c r="AF12" s="655"/>
      <c r="AG12" s="655"/>
      <c r="AH12" s="656"/>
      <c r="AI12" s="26"/>
      <c r="AJ12" s="811" t="s">
        <v>176</v>
      </c>
      <c r="AK12" s="1045"/>
      <c r="AL12" s="813">
        <v>4.4000000000000004</v>
      </c>
      <c r="AM12" s="809"/>
      <c r="AN12" s="724"/>
      <c r="AO12" s="726"/>
      <c r="AP12" s="813">
        <v>4.4000000000000004</v>
      </c>
      <c r="AQ12" s="809"/>
      <c r="AR12" s="724"/>
      <c r="AS12" s="726"/>
      <c r="AT12" s="813">
        <v>4.4000000000000004</v>
      </c>
      <c r="AU12" s="809"/>
      <c r="AV12" s="724"/>
      <c r="AW12" s="726"/>
      <c r="AX12" s="813">
        <v>4.4000000000000004</v>
      </c>
      <c r="AY12" s="809"/>
      <c r="AZ12" s="724"/>
      <c r="BA12" s="726"/>
      <c r="BB12" s="813">
        <v>4.4000000000000004</v>
      </c>
      <c r="BC12" s="809"/>
      <c r="BD12" s="724"/>
      <c r="BE12" s="726"/>
      <c r="BF12" s="813">
        <v>5.3</v>
      </c>
      <c r="BG12" s="809"/>
      <c r="BH12" s="1010"/>
      <c r="BI12" s="1011"/>
    </row>
    <row r="13" spans="1:67" ht="26.4" x14ac:dyDescent="0.25">
      <c r="A13" s="1200"/>
      <c r="B13" s="18" t="s">
        <v>58</v>
      </c>
      <c r="C13" s="18"/>
      <c r="D13" s="415"/>
      <c r="E13" s="415"/>
      <c r="F13" s="415"/>
      <c r="G13" s="415"/>
      <c r="H13" s="416"/>
      <c r="I13" s="120"/>
      <c r="J13" s="427" t="s">
        <v>177</v>
      </c>
      <c r="K13" s="655">
        <v>1.7</v>
      </c>
      <c r="L13" s="655"/>
      <c r="M13" s="655"/>
      <c r="N13" s="657"/>
      <c r="O13" s="658">
        <v>2.2000000000000002</v>
      </c>
      <c r="P13" s="655"/>
      <c r="Q13" s="655"/>
      <c r="R13" s="657"/>
      <c r="S13" s="658">
        <v>2.8</v>
      </c>
      <c r="T13" s="655"/>
      <c r="U13" s="655"/>
      <c r="V13" s="656"/>
      <c r="W13" s="658">
        <v>3.3</v>
      </c>
      <c r="X13" s="655"/>
      <c r="Y13" s="655"/>
      <c r="Z13" s="656"/>
      <c r="AA13" s="658">
        <v>3.8</v>
      </c>
      <c r="AB13" s="655"/>
      <c r="AC13" s="655"/>
      <c r="AD13" s="656"/>
      <c r="AE13" s="658">
        <v>4.4000000000000004</v>
      </c>
      <c r="AF13" s="655"/>
      <c r="AG13" s="655"/>
      <c r="AH13" s="656"/>
      <c r="AI13" s="26"/>
      <c r="AJ13" s="811" t="s">
        <v>177</v>
      </c>
      <c r="AK13" s="1045"/>
      <c r="AL13" s="814"/>
      <c r="AM13" s="815"/>
      <c r="AN13" s="815"/>
      <c r="AO13" s="816"/>
      <c r="AP13" s="814"/>
      <c r="AQ13" s="815"/>
      <c r="AR13" s="815"/>
      <c r="AS13" s="816"/>
      <c r="AT13" s="814"/>
      <c r="AU13" s="815"/>
      <c r="AV13" s="815"/>
      <c r="AW13" s="816"/>
      <c r="AX13" s="814"/>
      <c r="AY13" s="815"/>
      <c r="AZ13" s="815"/>
      <c r="BA13" s="816"/>
      <c r="BB13" s="814"/>
      <c r="BC13" s="815"/>
      <c r="BD13" s="815"/>
      <c r="BE13" s="816"/>
      <c r="BF13" s="1012"/>
      <c r="BG13" s="1013"/>
      <c r="BH13" s="1013"/>
      <c r="BI13" s="1014"/>
    </row>
    <row r="14" spans="1:67" ht="26.4" x14ac:dyDescent="0.25">
      <c r="A14" s="1200"/>
      <c r="B14" s="18" t="s">
        <v>59</v>
      </c>
      <c r="C14" s="18"/>
      <c r="D14" s="415"/>
      <c r="E14" s="415"/>
      <c r="F14" s="415"/>
      <c r="G14" s="415"/>
      <c r="H14" s="416"/>
      <c r="I14" s="120"/>
      <c r="J14" s="427" t="s">
        <v>181</v>
      </c>
      <c r="K14" s="655">
        <v>1.1000000000000001</v>
      </c>
      <c r="L14" s="655"/>
      <c r="M14" s="655"/>
      <c r="N14" s="657"/>
      <c r="O14" s="658">
        <v>1.7</v>
      </c>
      <c r="P14" s="655"/>
      <c r="Q14" s="655"/>
      <c r="R14" s="657"/>
      <c r="S14" s="658">
        <v>2.4</v>
      </c>
      <c r="T14" s="655"/>
      <c r="U14" s="655"/>
      <c r="V14" s="656"/>
      <c r="W14" s="658">
        <v>3.1</v>
      </c>
      <c r="X14" s="655"/>
      <c r="Y14" s="655"/>
      <c r="Z14" s="656"/>
      <c r="AA14" s="658">
        <v>3.7</v>
      </c>
      <c r="AB14" s="655"/>
      <c r="AC14" s="655"/>
      <c r="AD14" s="656"/>
      <c r="AE14" s="658">
        <v>4.4000000000000004</v>
      </c>
      <c r="AF14" s="655"/>
      <c r="AG14" s="655"/>
      <c r="AH14" s="656"/>
      <c r="AI14" s="26"/>
      <c r="AJ14" s="811" t="s">
        <v>181</v>
      </c>
      <c r="AK14" s="1045"/>
      <c r="AL14" s="814"/>
      <c r="AM14" s="815"/>
      <c r="AN14" s="815"/>
      <c r="AO14" s="816"/>
      <c r="AP14" s="814"/>
      <c r="AQ14" s="815"/>
      <c r="AR14" s="815"/>
      <c r="AS14" s="816"/>
      <c r="AT14" s="814"/>
      <c r="AU14" s="815"/>
      <c r="AV14" s="815"/>
      <c r="AW14" s="816"/>
      <c r="AX14" s="814"/>
      <c r="AY14" s="815"/>
      <c r="AZ14" s="815"/>
      <c r="BA14" s="816"/>
      <c r="BB14" s="814"/>
      <c r="BC14" s="815"/>
      <c r="BD14" s="815"/>
      <c r="BE14" s="816"/>
      <c r="BF14" s="1012"/>
      <c r="BG14" s="1013"/>
      <c r="BH14" s="1013"/>
      <c r="BI14" s="1014"/>
    </row>
    <row r="15" spans="1:67" ht="13.8" x14ac:dyDescent="0.25">
      <c r="A15" s="1200"/>
      <c r="B15" s="18" t="s">
        <v>55</v>
      </c>
      <c r="C15" s="18"/>
      <c r="D15" s="415"/>
      <c r="E15" s="415"/>
      <c r="F15" s="415"/>
      <c r="G15" s="415"/>
      <c r="H15" s="416"/>
      <c r="I15" s="120"/>
      <c r="J15" s="427" t="s">
        <v>178</v>
      </c>
      <c r="K15" s="655">
        <v>4.0999999999999996</v>
      </c>
      <c r="L15" s="655"/>
      <c r="M15" s="655"/>
      <c r="N15" s="657"/>
      <c r="O15" s="658">
        <v>4</v>
      </c>
      <c r="P15" s="655"/>
      <c r="Q15" s="655"/>
      <c r="R15" s="657"/>
      <c r="S15" s="658">
        <v>4.0999999999999996</v>
      </c>
      <c r="T15" s="655"/>
      <c r="U15" s="655"/>
      <c r="V15" s="656"/>
      <c r="W15" s="658">
        <v>4.2</v>
      </c>
      <c r="X15" s="655"/>
      <c r="Y15" s="655"/>
      <c r="Z15" s="656"/>
      <c r="AA15" s="658">
        <v>4.3</v>
      </c>
      <c r="AB15" s="655"/>
      <c r="AC15" s="655"/>
      <c r="AD15" s="656"/>
      <c r="AE15" s="658">
        <v>4.4000000000000004</v>
      </c>
      <c r="AF15" s="655"/>
      <c r="AG15" s="655"/>
      <c r="AH15" s="656"/>
      <c r="AI15" s="26"/>
      <c r="AJ15" s="427" t="s">
        <v>178</v>
      </c>
      <c r="AK15" s="1044"/>
      <c r="AL15" s="814"/>
      <c r="AM15" s="815"/>
      <c r="AN15" s="815"/>
      <c r="AO15" s="816"/>
      <c r="AP15" s="814"/>
      <c r="AQ15" s="815"/>
      <c r="AR15" s="815"/>
      <c r="AS15" s="816"/>
      <c r="AT15" s="814"/>
      <c r="AU15" s="815"/>
      <c r="AV15" s="815"/>
      <c r="AW15" s="816"/>
      <c r="AX15" s="814"/>
      <c r="AY15" s="815"/>
      <c r="AZ15" s="815"/>
      <c r="BA15" s="816"/>
      <c r="BB15" s="814"/>
      <c r="BC15" s="815"/>
      <c r="BD15" s="815"/>
      <c r="BE15" s="816"/>
      <c r="BF15" s="1012"/>
      <c r="BG15" s="1013"/>
      <c r="BH15" s="1013"/>
      <c r="BI15" s="1014"/>
    </row>
    <row r="16" spans="1:67" ht="13.8" x14ac:dyDescent="0.25">
      <c r="A16" s="1200"/>
      <c r="B16" s="18" t="s">
        <v>56</v>
      </c>
      <c r="C16" s="18"/>
      <c r="D16" s="415"/>
      <c r="E16" s="415"/>
      <c r="F16" s="415"/>
      <c r="G16" s="415"/>
      <c r="H16" s="416"/>
      <c r="I16" s="120"/>
      <c r="J16" s="427" t="s">
        <v>184</v>
      </c>
      <c r="K16" s="655"/>
      <c r="L16" s="655">
        <v>5.3</v>
      </c>
      <c r="M16" s="655"/>
      <c r="N16" s="657"/>
      <c r="O16" s="658"/>
      <c r="P16" s="655">
        <v>5.4</v>
      </c>
      <c r="Q16" s="655"/>
      <c r="R16" s="657"/>
      <c r="S16" s="658"/>
      <c r="T16" s="655">
        <v>5.5</v>
      </c>
      <c r="U16" s="655"/>
      <c r="V16" s="656"/>
      <c r="W16" s="658"/>
      <c r="X16" s="655">
        <v>5.6</v>
      </c>
      <c r="Y16" s="655"/>
      <c r="Z16" s="656"/>
      <c r="AA16" s="658"/>
      <c r="AB16" s="655">
        <v>5.7</v>
      </c>
      <c r="AC16" s="655"/>
      <c r="AD16" s="656"/>
      <c r="AE16" s="658"/>
      <c r="AF16" s="655">
        <v>5.8</v>
      </c>
      <c r="AG16" s="655"/>
      <c r="AH16" s="656"/>
      <c r="AI16" s="26"/>
      <c r="AJ16" s="427" t="s">
        <v>184</v>
      </c>
      <c r="AK16" s="1044"/>
      <c r="AL16" s="727"/>
      <c r="AM16" s="809">
        <v>5.8</v>
      </c>
      <c r="AN16" s="724"/>
      <c r="AO16" s="726"/>
      <c r="AP16" s="727"/>
      <c r="AQ16" s="809">
        <v>5.8</v>
      </c>
      <c r="AR16" s="724"/>
      <c r="AS16" s="726"/>
      <c r="AT16" s="727"/>
      <c r="AU16" s="809">
        <v>5.8</v>
      </c>
      <c r="AV16" s="724"/>
      <c r="AW16" s="726"/>
      <c r="AX16" s="727"/>
      <c r="AY16" s="809">
        <v>5.8</v>
      </c>
      <c r="AZ16" s="724"/>
      <c r="BA16" s="726"/>
      <c r="BB16" s="727"/>
      <c r="BC16" s="809">
        <v>5.8</v>
      </c>
      <c r="BD16" s="724"/>
      <c r="BE16" s="726"/>
      <c r="BF16" s="1015"/>
      <c r="BG16" s="809">
        <v>7</v>
      </c>
      <c r="BH16" s="1010"/>
      <c r="BI16" s="1011"/>
    </row>
    <row r="17" spans="1:62" ht="27.6" x14ac:dyDescent="0.25">
      <c r="A17" s="1200"/>
      <c r="B17" s="18" t="s">
        <v>60</v>
      </c>
      <c r="C17" s="18"/>
      <c r="D17" s="415"/>
      <c r="E17" s="415"/>
      <c r="F17" s="415"/>
      <c r="G17" s="415"/>
      <c r="H17" s="416"/>
      <c r="I17" s="120"/>
      <c r="J17" s="427" t="s">
        <v>15</v>
      </c>
      <c r="K17" s="655"/>
      <c r="L17" s="655"/>
      <c r="M17" s="655"/>
      <c r="N17" s="657">
        <v>5.3</v>
      </c>
      <c r="O17" s="658"/>
      <c r="P17" s="655"/>
      <c r="Q17" s="655"/>
      <c r="R17" s="657">
        <v>5.4</v>
      </c>
      <c r="S17" s="658"/>
      <c r="T17" s="655"/>
      <c r="U17" s="655"/>
      <c r="V17" s="656">
        <v>5.5</v>
      </c>
      <c r="W17" s="658"/>
      <c r="X17" s="655"/>
      <c r="Y17" s="655"/>
      <c r="Z17" s="656">
        <v>5.6</v>
      </c>
      <c r="AA17" s="658"/>
      <c r="AB17" s="655"/>
      <c r="AC17" s="655"/>
      <c r="AD17" s="656">
        <v>5.7</v>
      </c>
      <c r="AE17" s="658"/>
      <c r="AF17" s="655"/>
      <c r="AG17" s="655"/>
      <c r="AH17" s="656">
        <v>5.8</v>
      </c>
      <c r="AI17" s="26"/>
      <c r="AJ17" s="427" t="s">
        <v>15</v>
      </c>
      <c r="AK17" s="1044"/>
      <c r="AL17" s="727"/>
      <c r="AM17" s="724"/>
      <c r="AN17" s="724"/>
      <c r="AO17" s="810">
        <v>5.8</v>
      </c>
      <c r="AP17" s="727"/>
      <c r="AQ17" s="724"/>
      <c r="AR17" s="724"/>
      <c r="AS17" s="810">
        <v>5.8</v>
      </c>
      <c r="AT17" s="727"/>
      <c r="AU17" s="724"/>
      <c r="AV17" s="724"/>
      <c r="AW17" s="810">
        <v>5.8</v>
      </c>
      <c r="AX17" s="727"/>
      <c r="AY17" s="724"/>
      <c r="AZ17" s="724"/>
      <c r="BA17" s="810">
        <v>5.8</v>
      </c>
      <c r="BB17" s="727"/>
      <c r="BC17" s="724"/>
      <c r="BD17" s="724"/>
      <c r="BE17" s="810">
        <v>5.8</v>
      </c>
      <c r="BF17" s="1015"/>
      <c r="BG17" s="1010"/>
      <c r="BH17" s="1010"/>
      <c r="BI17" s="817">
        <v>7</v>
      </c>
    </row>
    <row r="18" spans="1:62" ht="27.6" x14ac:dyDescent="0.25">
      <c r="A18" s="1200"/>
      <c r="B18" s="18" t="s">
        <v>61</v>
      </c>
      <c r="C18" s="18"/>
      <c r="D18" s="415"/>
      <c r="E18" s="415"/>
      <c r="F18" s="415"/>
      <c r="G18" s="415"/>
      <c r="H18" s="416"/>
      <c r="I18" s="120"/>
      <c r="J18" s="427" t="s">
        <v>179</v>
      </c>
      <c r="K18" s="655"/>
      <c r="L18" s="655"/>
      <c r="M18" s="655"/>
      <c r="N18" s="657">
        <v>3.2</v>
      </c>
      <c r="O18" s="658"/>
      <c r="P18" s="655"/>
      <c r="Q18" s="655"/>
      <c r="R18" s="657">
        <v>3.2</v>
      </c>
      <c r="S18" s="658"/>
      <c r="T18" s="655"/>
      <c r="U18" s="655"/>
      <c r="V18" s="656">
        <v>3.3</v>
      </c>
      <c r="W18" s="658"/>
      <c r="X18" s="655"/>
      <c r="Y18" s="655"/>
      <c r="Z18" s="656">
        <v>3.4</v>
      </c>
      <c r="AA18" s="658"/>
      <c r="AB18" s="655"/>
      <c r="AC18" s="655"/>
      <c r="AD18" s="656">
        <v>3.4</v>
      </c>
      <c r="AE18" s="658"/>
      <c r="AF18" s="655"/>
      <c r="AG18" s="655"/>
      <c r="AH18" s="656">
        <v>3.5</v>
      </c>
      <c r="AI18" s="26"/>
      <c r="AJ18" s="427" t="s">
        <v>179</v>
      </c>
      <c r="AK18" s="1044"/>
      <c r="AL18" s="727"/>
      <c r="AM18" s="724"/>
      <c r="AN18" s="724"/>
      <c r="AO18" s="810">
        <v>3.5</v>
      </c>
      <c r="AP18" s="727"/>
      <c r="AQ18" s="724"/>
      <c r="AR18" s="724"/>
      <c r="AS18" s="810">
        <v>3.5</v>
      </c>
      <c r="AT18" s="727"/>
      <c r="AU18" s="724"/>
      <c r="AV18" s="724"/>
      <c r="AW18" s="810">
        <v>3.5</v>
      </c>
      <c r="AX18" s="727"/>
      <c r="AY18" s="724"/>
      <c r="AZ18" s="724"/>
      <c r="BA18" s="810">
        <v>3.5</v>
      </c>
      <c r="BB18" s="727"/>
      <c r="BC18" s="724"/>
      <c r="BD18" s="724"/>
      <c r="BE18" s="810">
        <v>3.5</v>
      </c>
      <c r="BF18" s="1015"/>
      <c r="BG18" s="1010"/>
      <c r="BH18" s="1010"/>
      <c r="BI18" s="817">
        <v>5.64</v>
      </c>
    </row>
    <row r="19" spans="1:62" ht="27.6" x14ac:dyDescent="0.25">
      <c r="A19" s="1200"/>
      <c r="B19" s="18" t="s">
        <v>65</v>
      </c>
      <c r="C19" s="18"/>
      <c r="D19" s="415"/>
      <c r="E19" s="415"/>
      <c r="F19" s="415"/>
      <c r="G19" s="415"/>
      <c r="H19" s="416"/>
      <c r="I19" s="120"/>
      <c r="J19" s="427" t="s">
        <v>180</v>
      </c>
      <c r="K19" s="655"/>
      <c r="L19" s="655"/>
      <c r="M19" s="655"/>
      <c r="N19" s="657">
        <v>2.7</v>
      </c>
      <c r="O19" s="658"/>
      <c r="P19" s="655"/>
      <c r="Q19" s="655"/>
      <c r="R19" s="657">
        <v>3</v>
      </c>
      <c r="S19" s="658"/>
      <c r="T19" s="655"/>
      <c r="U19" s="655"/>
      <c r="V19" s="656">
        <v>3.4</v>
      </c>
      <c r="W19" s="658"/>
      <c r="X19" s="655"/>
      <c r="Y19" s="655"/>
      <c r="Z19" s="656">
        <v>3.7</v>
      </c>
      <c r="AA19" s="658"/>
      <c r="AB19" s="655"/>
      <c r="AC19" s="655"/>
      <c r="AD19" s="656">
        <v>3.7</v>
      </c>
      <c r="AE19" s="658"/>
      <c r="AF19" s="655"/>
      <c r="AG19" s="655"/>
      <c r="AH19" s="656">
        <v>4</v>
      </c>
      <c r="AI19" s="26"/>
      <c r="AJ19" s="811" t="s">
        <v>180</v>
      </c>
      <c r="AK19" s="1045"/>
      <c r="AL19" s="814"/>
      <c r="AM19" s="815"/>
      <c r="AN19" s="815"/>
      <c r="AO19" s="816"/>
      <c r="AP19" s="814"/>
      <c r="AQ19" s="815"/>
      <c r="AR19" s="815"/>
      <c r="AS19" s="816"/>
      <c r="AT19" s="814"/>
      <c r="AU19" s="815"/>
      <c r="AV19" s="815"/>
      <c r="AW19" s="816"/>
      <c r="AX19" s="814"/>
      <c r="AY19" s="815"/>
      <c r="AZ19" s="815"/>
      <c r="BA19" s="816"/>
      <c r="BB19" s="814"/>
      <c r="BC19" s="815"/>
      <c r="BD19" s="815"/>
      <c r="BE19" s="816"/>
      <c r="BF19" s="1012"/>
      <c r="BG19" s="1013"/>
      <c r="BH19" s="1013"/>
      <c r="BI19" s="1014"/>
    </row>
    <row r="20" spans="1:62" ht="27.6" x14ac:dyDescent="0.25">
      <c r="A20" s="1200"/>
      <c r="B20" s="18" t="s">
        <v>66</v>
      </c>
      <c r="C20" s="18"/>
      <c r="D20" s="415"/>
      <c r="E20" s="415"/>
      <c r="F20" s="415"/>
      <c r="G20" s="415"/>
      <c r="H20" s="416"/>
      <c r="I20" s="120"/>
      <c r="J20" s="427" t="s">
        <v>180</v>
      </c>
      <c r="K20" s="655"/>
      <c r="L20" s="655"/>
      <c r="M20" s="655"/>
      <c r="N20" s="657">
        <v>1.7</v>
      </c>
      <c r="O20" s="658"/>
      <c r="P20" s="655"/>
      <c r="Q20" s="655"/>
      <c r="R20" s="657">
        <v>2.2000000000000002</v>
      </c>
      <c r="S20" s="658"/>
      <c r="T20" s="655"/>
      <c r="U20" s="655"/>
      <c r="V20" s="656">
        <v>2.8</v>
      </c>
      <c r="W20" s="658"/>
      <c r="X20" s="655"/>
      <c r="Y20" s="655"/>
      <c r="Z20" s="656">
        <v>3.3</v>
      </c>
      <c r="AA20" s="658"/>
      <c r="AB20" s="655"/>
      <c r="AC20" s="655"/>
      <c r="AD20" s="656">
        <v>3.8</v>
      </c>
      <c r="AE20" s="658"/>
      <c r="AF20" s="655"/>
      <c r="AG20" s="655"/>
      <c r="AH20" s="656">
        <v>4.4000000000000004</v>
      </c>
      <c r="AI20" s="26"/>
      <c r="AJ20" s="811" t="s">
        <v>180</v>
      </c>
      <c r="AK20" s="1045"/>
      <c r="AL20" s="814"/>
      <c r="AM20" s="815"/>
      <c r="AN20" s="815"/>
      <c r="AO20" s="816"/>
      <c r="AP20" s="814"/>
      <c r="AQ20" s="815"/>
      <c r="AR20" s="815"/>
      <c r="AS20" s="816"/>
      <c r="AT20" s="814"/>
      <c r="AU20" s="815"/>
      <c r="AV20" s="815"/>
      <c r="AW20" s="816"/>
      <c r="AX20" s="814"/>
      <c r="AY20" s="815"/>
      <c r="AZ20" s="815"/>
      <c r="BA20" s="816"/>
      <c r="BB20" s="814"/>
      <c r="BC20" s="815"/>
      <c r="BD20" s="815"/>
      <c r="BE20" s="816"/>
      <c r="BF20" s="1012"/>
      <c r="BG20" s="1013"/>
      <c r="BH20" s="1013"/>
      <c r="BI20" s="1014"/>
    </row>
    <row r="21" spans="1:62" ht="27.6" x14ac:dyDescent="0.25">
      <c r="A21" s="1200"/>
      <c r="B21" s="18" t="s">
        <v>67</v>
      </c>
      <c r="C21" s="18"/>
      <c r="D21" s="415"/>
      <c r="E21" s="415"/>
      <c r="F21" s="415"/>
      <c r="G21" s="415"/>
      <c r="H21" s="416"/>
      <c r="I21" s="120"/>
      <c r="J21" s="427" t="s">
        <v>182</v>
      </c>
      <c r="K21" s="655"/>
      <c r="L21" s="655"/>
      <c r="M21" s="655"/>
      <c r="N21" s="657">
        <v>1.1000000000000001</v>
      </c>
      <c r="O21" s="658"/>
      <c r="P21" s="655"/>
      <c r="Q21" s="655"/>
      <c r="R21" s="657">
        <v>1.7</v>
      </c>
      <c r="S21" s="658"/>
      <c r="T21" s="655"/>
      <c r="U21" s="655"/>
      <c r="V21" s="656">
        <v>2.4</v>
      </c>
      <c r="W21" s="658"/>
      <c r="X21" s="655"/>
      <c r="Y21" s="655"/>
      <c r="Z21" s="656">
        <v>3.1</v>
      </c>
      <c r="AA21" s="658"/>
      <c r="AB21" s="655"/>
      <c r="AC21" s="655"/>
      <c r="AD21" s="656">
        <v>3.7</v>
      </c>
      <c r="AE21" s="658"/>
      <c r="AF21" s="655"/>
      <c r="AG21" s="655"/>
      <c r="AH21" s="656">
        <v>4.4000000000000004</v>
      </c>
      <c r="AI21" s="26"/>
      <c r="AJ21" s="811" t="s">
        <v>182</v>
      </c>
      <c r="AK21" s="1045"/>
      <c r="AL21" s="814"/>
      <c r="AM21" s="815"/>
      <c r="AN21" s="815"/>
      <c r="AO21" s="816"/>
      <c r="AP21" s="814"/>
      <c r="AQ21" s="815"/>
      <c r="AR21" s="815"/>
      <c r="AS21" s="816"/>
      <c r="AT21" s="814"/>
      <c r="AU21" s="815"/>
      <c r="AV21" s="815"/>
      <c r="AW21" s="816"/>
      <c r="AX21" s="814"/>
      <c r="AY21" s="815"/>
      <c r="AZ21" s="815"/>
      <c r="BA21" s="816"/>
      <c r="BB21" s="814"/>
      <c r="BC21" s="815"/>
      <c r="BD21" s="815"/>
      <c r="BE21" s="816"/>
      <c r="BF21" s="1012"/>
      <c r="BG21" s="1013"/>
      <c r="BH21" s="1013"/>
      <c r="BI21" s="1014"/>
    </row>
    <row r="22" spans="1:62" ht="27.6" x14ac:dyDescent="0.25">
      <c r="A22" s="1200"/>
      <c r="B22" s="18" t="s">
        <v>62</v>
      </c>
      <c r="C22" s="18"/>
      <c r="D22" s="415"/>
      <c r="E22" s="415"/>
      <c r="F22" s="415"/>
      <c r="G22" s="415"/>
      <c r="H22" s="416"/>
      <c r="I22" s="120"/>
      <c r="J22" s="427" t="s">
        <v>183</v>
      </c>
      <c r="K22" s="659"/>
      <c r="L22" s="655"/>
      <c r="M22" s="655"/>
      <c r="N22" s="657">
        <v>5.4</v>
      </c>
      <c r="O22" s="658"/>
      <c r="P22" s="655"/>
      <c r="Q22" s="655"/>
      <c r="R22" s="657">
        <v>5.4</v>
      </c>
      <c r="S22" s="658"/>
      <c r="T22" s="655"/>
      <c r="U22" s="655"/>
      <c r="V22" s="656">
        <v>5.5</v>
      </c>
      <c r="W22" s="658"/>
      <c r="X22" s="655"/>
      <c r="Y22" s="655"/>
      <c r="Z22" s="656">
        <v>5.6</v>
      </c>
      <c r="AA22" s="658"/>
      <c r="AB22" s="655"/>
      <c r="AC22" s="655"/>
      <c r="AD22" s="656">
        <v>5.7</v>
      </c>
      <c r="AE22" s="658"/>
      <c r="AF22" s="655"/>
      <c r="AG22" s="655"/>
      <c r="AH22" s="656">
        <v>5.8</v>
      </c>
      <c r="AI22" s="26"/>
      <c r="AJ22" s="427" t="s">
        <v>183</v>
      </c>
      <c r="AK22" s="1044"/>
      <c r="AL22" s="818"/>
      <c r="AM22" s="815"/>
      <c r="AN22" s="815"/>
      <c r="AO22" s="816"/>
      <c r="AP22" s="818"/>
      <c r="AQ22" s="815"/>
      <c r="AR22" s="815"/>
      <c r="AS22" s="816"/>
      <c r="AT22" s="818"/>
      <c r="AU22" s="815"/>
      <c r="AV22" s="815"/>
      <c r="AW22" s="816"/>
      <c r="AX22" s="818"/>
      <c r="AY22" s="815"/>
      <c r="AZ22" s="815"/>
      <c r="BA22" s="816"/>
      <c r="BB22" s="818"/>
      <c r="BC22" s="815"/>
      <c r="BD22" s="815"/>
      <c r="BE22" s="816"/>
      <c r="BF22" s="1016"/>
      <c r="BG22" s="1013"/>
      <c r="BH22" s="1013"/>
      <c r="BI22" s="1014"/>
    </row>
    <row r="23" spans="1:62" ht="27.6" x14ac:dyDescent="0.25">
      <c r="A23" s="1200"/>
      <c r="B23" s="18" t="s">
        <v>63</v>
      </c>
      <c r="C23" s="18"/>
      <c r="D23" s="415"/>
      <c r="E23" s="415"/>
      <c r="F23" s="415"/>
      <c r="G23" s="415"/>
      <c r="H23" s="416"/>
      <c r="I23" s="120"/>
      <c r="J23" s="427" t="s">
        <v>184</v>
      </c>
      <c r="K23" s="655"/>
      <c r="L23" s="655"/>
      <c r="M23" s="655"/>
      <c r="N23" s="657">
        <v>5.3</v>
      </c>
      <c r="O23" s="658"/>
      <c r="P23" s="655"/>
      <c r="Q23" s="655"/>
      <c r="R23" s="657">
        <v>5.4</v>
      </c>
      <c r="S23" s="658"/>
      <c r="T23" s="655"/>
      <c r="U23" s="655"/>
      <c r="V23" s="656">
        <v>5.5</v>
      </c>
      <c r="W23" s="658"/>
      <c r="X23" s="655"/>
      <c r="Y23" s="655"/>
      <c r="Z23" s="656">
        <v>5.6</v>
      </c>
      <c r="AA23" s="658"/>
      <c r="AB23" s="655"/>
      <c r="AC23" s="655"/>
      <c r="AD23" s="656">
        <v>5.7</v>
      </c>
      <c r="AE23" s="658"/>
      <c r="AF23" s="655"/>
      <c r="AG23" s="655"/>
      <c r="AH23" s="656">
        <v>5.8</v>
      </c>
      <c r="AI23" s="26"/>
      <c r="AJ23" s="427" t="s">
        <v>184</v>
      </c>
      <c r="AK23" s="1044"/>
      <c r="AL23" s="727"/>
      <c r="AM23" s="724"/>
      <c r="AN23" s="724"/>
      <c r="AO23" s="810">
        <v>5.8</v>
      </c>
      <c r="AP23" s="727"/>
      <c r="AQ23" s="724"/>
      <c r="AR23" s="724"/>
      <c r="AS23" s="810">
        <v>5.8</v>
      </c>
      <c r="AT23" s="727"/>
      <c r="AU23" s="724"/>
      <c r="AV23" s="724"/>
      <c r="AW23" s="810">
        <v>5.8</v>
      </c>
      <c r="AX23" s="727"/>
      <c r="AY23" s="724"/>
      <c r="AZ23" s="724"/>
      <c r="BA23" s="810">
        <v>5.8</v>
      </c>
      <c r="BB23" s="727"/>
      <c r="BC23" s="724"/>
      <c r="BD23" s="724"/>
      <c r="BE23" s="810">
        <v>5.8</v>
      </c>
      <c r="BF23" s="1015"/>
      <c r="BG23" s="1010"/>
      <c r="BH23" s="1010"/>
      <c r="BI23" s="817">
        <v>7</v>
      </c>
    </row>
    <row r="24" spans="1:62" ht="13.8" x14ac:dyDescent="0.25">
      <c r="A24" s="1204"/>
      <c r="B24" s="1258" t="s">
        <v>64</v>
      </c>
      <c r="C24" s="405">
        <v>2</v>
      </c>
      <c r="D24" s="417"/>
      <c r="E24" s="417"/>
      <c r="F24" s="417"/>
      <c r="G24" s="417"/>
      <c r="H24" s="425"/>
      <c r="I24" s="423"/>
      <c r="J24" s="1261" t="s">
        <v>185</v>
      </c>
      <c r="K24" s="660"/>
      <c r="L24" s="660"/>
      <c r="M24" s="660"/>
      <c r="N24" s="661">
        <v>4.7</v>
      </c>
      <c r="O24" s="658"/>
      <c r="P24" s="655"/>
      <c r="Q24" s="655"/>
      <c r="R24" s="657">
        <v>4.8</v>
      </c>
      <c r="S24" s="658"/>
      <c r="T24" s="655"/>
      <c r="U24" s="655"/>
      <c r="V24" s="656">
        <v>4.9000000000000004</v>
      </c>
      <c r="W24" s="658"/>
      <c r="X24" s="655"/>
      <c r="Y24" s="655"/>
      <c r="Z24" s="656">
        <v>5</v>
      </c>
      <c r="AA24" s="658"/>
      <c r="AB24" s="655"/>
      <c r="AC24" s="655"/>
      <c r="AD24" s="656">
        <v>5.0999999999999996</v>
      </c>
      <c r="AE24" s="658"/>
      <c r="AF24" s="655"/>
      <c r="AG24" s="655"/>
      <c r="AH24" s="656">
        <v>5.2</v>
      </c>
      <c r="AI24" s="26"/>
      <c r="AJ24" s="1269" t="s">
        <v>185</v>
      </c>
      <c r="AK24" s="1046"/>
      <c r="AL24" s="819"/>
      <c r="AM24" s="820"/>
      <c r="AN24" s="820"/>
      <c r="AO24" s="821"/>
      <c r="AP24" s="819"/>
      <c r="AQ24" s="820"/>
      <c r="AR24" s="820"/>
      <c r="AS24" s="821"/>
      <c r="AT24" s="819"/>
      <c r="AU24" s="820"/>
      <c r="AV24" s="820"/>
      <c r="AW24" s="821"/>
      <c r="AX24" s="819"/>
      <c r="AY24" s="820"/>
      <c r="AZ24" s="820"/>
      <c r="BA24" s="821"/>
      <c r="BB24" s="819"/>
      <c r="BC24" s="820"/>
      <c r="BD24" s="820"/>
      <c r="BE24" s="821"/>
      <c r="BF24" s="1017"/>
      <c r="BG24" s="1018"/>
      <c r="BH24" s="1018"/>
      <c r="BI24" s="1019"/>
    </row>
    <row r="25" spans="1:62" ht="13.8" x14ac:dyDescent="0.25">
      <c r="A25" s="1204"/>
      <c r="B25" s="1259"/>
      <c r="C25" s="28">
        <v>3</v>
      </c>
      <c r="D25" s="417"/>
      <c r="E25" s="417"/>
      <c r="F25" s="417"/>
      <c r="G25" s="417"/>
      <c r="H25" s="425"/>
      <c r="I25" s="423"/>
      <c r="J25" s="1262"/>
      <c r="K25" s="660"/>
      <c r="L25" s="660"/>
      <c r="M25" s="660"/>
      <c r="N25" s="661">
        <v>5</v>
      </c>
      <c r="O25" s="658"/>
      <c r="P25" s="655"/>
      <c r="Q25" s="655"/>
      <c r="R25" s="657">
        <v>5.0999999999999996</v>
      </c>
      <c r="S25" s="658"/>
      <c r="T25" s="655"/>
      <c r="U25" s="655"/>
      <c r="V25" s="656">
        <v>5.2</v>
      </c>
      <c r="W25" s="658"/>
      <c r="X25" s="655"/>
      <c r="Y25" s="655"/>
      <c r="Z25" s="656">
        <v>5.3</v>
      </c>
      <c r="AA25" s="658"/>
      <c r="AB25" s="655"/>
      <c r="AC25" s="655"/>
      <c r="AD25" s="656">
        <v>5.4</v>
      </c>
      <c r="AE25" s="658"/>
      <c r="AF25" s="655"/>
      <c r="AG25" s="655"/>
      <c r="AH25" s="677">
        <v>5.6</v>
      </c>
      <c r="AI25" s="557"/>
      <c r="AJ25" s="1270"/>
      <c r="AK25" s="1047"/>
      <c r="AL25" s="819"/>
      <c r="AM25" s="820"/>
      <c r="AN25" s="820"/>
      <c r="AO25" s="821"/>
      <c r="AP25" s="819"/>
      <c r="AQ25" s="820"/>
      <c r="AR25" s="820"/>
      <c r="AS25" s="821"/>
      <c r="AT25" s="819"/>
      <c r="AU25" s="820"/>
      <c r="AV25" s="820"/>
      <c r="AW25" s="821"/>
      <c r="AX25" s="819"/>
      <c r="AY25" s="820"/>
      <c r="AZ25" s="820"/>
      <c r="BA25" s="821"/>
      <c r="BB25" s="819"/>
      <c r="BC25" s="820"/>
      <c r="BD25" s="820"/>
      <c r="BE25" s="821"/>
      <c r="BF25" s="1017"/>
      <c r="BG25" s="1018"/>
      <c r="BH25" s="1018"/>
      <c r="BI25" s="1019"/>
    </row>
    <row r="26" spans="1:62" ht="14.4" thickBot="1" x14ac:dyDescent="0.3">
      <c r="A26" s="1201"/>
      <c r="B26" s="1260"/>
      <c r="C26" s="411">
        <v>4</v>
      </c>
      <c r="D26" s="418"/>
      <c r="E26" s="419"/>
      <c r="F26" s="419"/>
      <c r="G26" s="417"/>
      <c r="H26" s="426"/>
      <c r="I26" s="424"/>
      <c r="J26" s="1263"/>
      <c r="K26" s="662"/>
      <c r="L26" s="662"/>
      <c r="M26" s="662"/>
      <c r="N26" s="663">
        <v>4.7</v>
      </c>
      <c r="O26" s="664"/>
      <c r="P26" s="662"/>
      <c r="Q26" s="662"/>
      <c r="R26" s="663">
        <v>5.8</v>
      </c>
      <c r="S26" s="664"/>
      <c r="T26" s="662"/>
      <c r="U26" s="662"/>
      <c r="V26" s="665">
        <v>6</v>
      </c>
      <c r="W26" s="664"/>
      <c r="X26" s="662"/>
      <c r="Y26" s="662"/>
      <c r="Z26" s="665">
        <v>6.1</v>
      </c>
      <c r="AA26" s="664"/>
      <c r="AB26" s="662"/>
      <c r="AC26" s="662"/>
      <c r="AD26" s="665">
        <v>6.2</v>
      </c>
      <c r="AE26" s="664"/>
      <c r="AF26" s="662"/>
      <c r="AG26" s="662"/>
      <c r="AH26" s="678">
        <v>6.3</v>
      </c>
      <c r="AI26" s="557"/>
      <c r="AJ26" s="1271"/>
      <c r="AK26" s="1048"/>
      <c r="AL26" s="822"/>
      <c r="AM26" s="823"/>
      <c r="AN26" s="823"/>
      <c r="AO26" s="824"/>
      <c r="AP26" s="822"/>
      <c r="AQ26" s="823"/>
      <c r="AR26" s="823"/>
      <c r="AS26" s="824"/>
      <c r="AT26" s="822"/>
      <c r="AU26" s="823"/>
      <c r="AV26" s="823"/>
      <c r="AW26" s="824"/>
      <c r="AX26" s="822"/>
      <c r="AY26" s="823"/>
      <c r="AZ26" s="823"/>
      <c r="BA26" s="824"/>
      <c r="BB26" s="822"/>
      <c r="BC26" s="823"/>
      <c r="BD26" s="823"/>
      <c r="BE26" s="824"/>
      <c r="BF26" s="1020"/>
      <c r="BG26" s="1021"/>
      <c r="BH26" s="1021"/>
      <c r="BI26" s="1022"/>
    </row>
    <row r="27" spans="1:62" ht="13.8" x14ac:dyDescent="0.25">
      <c r="A27" s="1198" t="s">
        <v>27</v>
      </c>
      <c r="B27" s="14" t="s">
        <v>16</v>
      </c>
      <c r="C27" s="14"/>
      <c r="D27" s="72"/>
      <c r="E27" s="72"/>
      <c r="F27" s="72"/>
      <c r="G27" s="72"/>
      <c r="H27" s="73"/>
      <c r="I27" s="116"/>
      <c r="J27" s="116"/>
      <c r="K27" s="309">
        <v>3.45</v>
      </c>
      <c r="L27" s="306"/>
      <c r="M27" s="306"/>
      <c r="N27" s="308"/>
      <c r="O27" s="309">
        <v>3.45</v>
      </c>
      <c r="P27" s="306"/>
      <c r="Q27" s="306"/>
      <c r="R27" s="308"/>
      <c r="S27" s="309">
        <v>3.45</v>
      </c>
      <c r="T27" s="306"/>
      <c r="U27" s="306"/>
      <c r="V27" s="308"/>
      <c r="W27" s="309">
        <v>3.45</v>
      </c>
      <c r="X27" s="306"/>
      <c r="Y27" s="306"/>
      <c r="Z27" s="308"/>
      <c r="AA27" s="309">
        <v>3.45</v>
      </c>
      <c r="AB27" s="306"/>
      <c r="AC27" s="306"/>
      <c r="AD27" s="308"/>
      <c r="AE27" s="309">
        <v>3.45</v>
      </c>
      <c r="AF27" s="306"/>
      <c r="AG27" s="306"/>
      <c r="AH27" s="308"/>
      <c r="AI27" s="14" t="s">
        <v>16</v>
      </c>
      <c r="AL27" s="867">
        <v>3.3</v>
      </c>
      <c r="AM27" s="285"/>
      <c r="AN27" s="285"/>
      <c r="AO27" s="288"/>
      <c r="AP27" s="867">
        <v>3.3</v>
      </c>
      <c r="AQ27" s="285"/>
      <c r="AR27" s="285"/>
      <c r="AS27" s="288"/>
      <c r="AT27" s="867">
        <v>3.3</v>
      </c>
      <c r="AU27" s="285"/>
      <c r="AV27" s="285"/>
      <c r="AW27" s="288"/>
      <c r="AX27" s="867">
        <v>3.3</v>
      </c>
      <c r="AY27" s="285"/>
      <c r="AZ27" s="285"/>
      <c r="BA27" s="288"/>
      <c r="BB27" s="867">
        <v>3.3</v>
      </c>
      <c r="BC27" s="285"/>
      <c r="BD27" s="285"/>
      <c r="BE27" s="288"/>
      <c r="BF27" s="867">
        <v>3.31</v>
      </c>
      <c r="BG27" s="285"/>
      <c r="BH27" s="285"/>
      <c r="BI27" s="288"/>
    </row>
    <row r="28" spans="1:62" ht="13.8" thickBot="1" x14ac:dyDescent="0.3">
      <c r="A28" s="1201"/>
      <c r="B28" s="51" t="s">
        <v>41</v>
      </c>
      <c r="C28" s="51"/>
      <c r="D28" s="74"/>
      <c r="E28" s="74"/>
      <c r="F28" s="74"/>
      <c r="G28" s="74"/>
      <c r="H28" s="75"/>
      <c r="I28" s="121"/>
      <c r="J28" s="121"/>
      <c r="K28" s="312"/>
      <c r="L28" s="291"/>
      <c r="M28" s="291"/>
      <c r="N28" s="292">
        <v>4.3899999999999997</v>
      </c>
      <c r="O28" s="312"/>
      <c r="P28" s="291"/>
      <c r="Q28" s="291"/>
      <c r="R28" s="292">
        <v>4.3899999999999997</v>
      </c>
      <c r="S28" s="312"/>
      <c r="T28" s="291"/>
      <c r="U28" s="291"/>
      <c r="V28" s="292">
        <v>4.3899999999999997</v>
      </c>
      <c r="W28" s="312"/>
      <c r="X28" s="291"/>
      <c r="Y28" s="291"/>
      <c r="Z28" s="292">
        <v>4.3899999999999997</v>
      </c>
      <c r="AA28" s="312"/>
      <c r="AB28" s="291"/>
      <c r="AC28" s="291"/>
      <c r="AD28" s="292">
        <v>4.3899999999999997</v>
      </c>
      <c r="AE28" s="312"/>
      <c r="AF28" s="291"/>
      <c r="AG28" s="291"/>
      <c r="AH28" s="292">
        <v>4.3899999999999997</v>
      </c>
      <c r="AI28" s="51" t="s">
        <v>41</v>
      </c>
      <c r="AJ28" s="1082"/>
      <c r="AK28" s="988"/>
      <c r="AL28" s="868"/>
      <c r="AM28" s="871">
        <v>4.2</v>
      </c>
      <c r="AN28" s="871"/>
      <c r="AO28" s="872">
        <v>4.2</v>
      </c>
      <c r="AP28" s="868"/>
      <c r="AQ28" s="871">
        <v>4.2</v>
      </c>
      <c r="AR28" s="871"/>
      <c r="AS28" s="872">
        <v>4.2</v>
      </c>
      <c r="AT28" s="868"/>
      <c r="AU28" s="871">
        <v>4.2</v>
      </c>
      <c r="AV28" s="871"/>
      <c r="AW28" s="872">
        <v>4.2</v>
      </c>
      <c r="AX28" s="868"/>
      <c r="AY28" s="871" t="s">
        <v>235</v>
      </c>
      <c r="AZ28" s="871"/>
      <c r="BA28" s="872" t="s">
        <v>235</v>
      </c>
      <c r="BB28" s="868"/>
      <c r="BC28" s="871" t="s">
        <v>244</v>
      </c>
      <c r="BD28" s="871"/>
      <c r="BE28" s="872" t="s">
        <v>244</v>
      </c>
      <c r="BF28" s="868"/>
      <c r="BG28" s="871" t="s">
        <v>245</v>
      </c>
      <c r="BH28" s="871"/>
      <c r="BI28" s="1100" t="s">
        <v>245</v>
      </c>
      <c r="BJ28" s="1164">
        <f>+(5.32-4.93)/4.93</f>
        <v>7.9107505070994039E-2</v>
      </c>
    </row>
    <row r="29" spans="1:62" x14ac:dyDescent="0.25">
      <c r="A29" s="1198" t="s">
        <v>26</v>
      </c>
      <c r="B29" s="57" t="s">
        <v>31</v>
      </c>
      <c r="C29" s="57"/>
      <c r="D29" s="76"/>
      <c r="E29" s="76"/>
      <c r="F29" s="76"/>
      <c r="G29" s="76"/>
      <c r="H29" s="77"/>
      <c r="I29" s="116"/>
      <c r="J29" s="116"/>
      <c r="K29" s="76"/>
      <c r="L29" s="76"/>
      <c r="M29" s="76"/>
      <c r="N29" s="247"/>
      <c r="O29" s="275"/>
      <c r="P29" s="76"/>
      <c r="Q29" s="76"/>
      <c r="R29" s="77"/>
      <c r="S29" s="257"/>
      <c r="T29" s="76"/>
      <c r="U29" s="76"/>
      <c r="V29" s="247"/>
      <c r="W29" s="275">
        <v>1.923</v>
      </c>
      <c r="X29" s="76"/>
      <c r="Y29" s="76"/>
      <c r="Z29" s="77"/>
      <c r="AA29" s="275">
        <v>1.923</v>
      </c>
      <c r="AB29" s="76"/>
      <c r="AC29" s="76"/>
      <c r="AD29" s="247"/>
      <c r="AE29" s="275">
        <v>1.923</v>
      </c>
      <c r="AF29" s="76"/>
      <c r="AG29" s="76"/>
      <c r="AH29" s="77"/>
      <c r="AI29" s="94"/>
      <c r="AL29" s="888">
        <v>1.7310000000000001</v>
      </c>
      <c r="AM29" s="92"/>
      <c r="AN29" s="92"/>
      <c r="AO29" s="570"/>
      <c r="AP29" s="888">
        <v>1.7310000000000001</v>
      </c>
      <c r="AQ29" s="92"/>
      <c r="AR29" s="92"/>
      <c r="AS29" s="570"/>
      <c r="AT29" s="888">
        <v>1.7310000000000001</v>
      </c>
      <c r="AU29" s="92"/>
      <c r="AV29" s="92"/>
      <c r="AW29" s="570"/>
      <c r="AX29" s="888">
        <v>1.7310000000000001</v>
      </c>
      <c r="AY29" s="92"/>
      <c r="AZ29" s="92"/>
      <c r="BA29" s="570"/>
      <c r="BB29" s="888">
        <v>1.7310000000000001</v>
      </c>
      <c r="BC29" s="92"/>
      <c r="BD29" s="92"/>
      <c r="BE29" s="570"/>
      <c r="BF29" s="1101">
        <v>1.7310000000000001</v>
      </c>
      <c r="BG29" s="92"/>
      <c r="BH29" s="92"/>
      <c r="BI29" s="93"/>
    </row>
    <row r="30" spans="1:62" x14ac:dyDescent="0.25">
      <c r="A30" s="1200"/>
      <c r="B30" s="53" t="s">
        <v>38</v>
      </c>
      <c r="C30" s="53"/>
      <c r="D30" s="78"/>
      <c r="E30" s="78"/>
      <c r="F30" s="78"/>
      <c r="G30" s="78"/>
      <c r="H30" s="79"/>
      <c r="I30" s="117"/>
      <c r="J30" s="117"/>
      <c r="K30" s="78"/>
      <c r="L30" s="78"/>
      <c r="M30" s="78"/>
      <c r="N30" s="248"/>
      <c r="O30" s="276"/>
      <c r="P30" s="78"/>
      <c r="Q30" s="78"/>
      <c r="R30" s="79"/>
      <c r="S30" s="258"/>
      <c r="T30" s="78"/>
      <c r="U30" s="78"/>
      <c r="V30" s="248"/>
      <c r="W30" s="276"/>
      <c r="X30" s="78">
        <v>4.0259999999999998</v>
      </c>
      <c r="Y30" s="78"/>
      <c r="Z30" s="79"/>
      <c r="AA30" s="258"/>
      <c r="AB30" s="78">
        <v>4.0259999999999998</v>
      </c>
      <c r="AC30" s="78"/>
      <c r="AD30" s="79"/>
      <c r="AE30" s="276"/>
      <c r="AF30" s="78">
        <v>4.0259999999999998</v>
      </c>
      <c r="AG30" s="78"/>
      <c r="AH30" s="79"/>
      <c r="AI30" s="94"/>
      <c r="AL30" s="894"/>
      <c r="AM30" s="889">
        <v>3.6230000000000002</v>
      </c>
      <c r="AN30" s="889"/>
      <c r="AO30" s="892"/>
      <c r="AP30" s="894"/>
      <c r="AQ30" s="889">
        <v>3.6230000000000002</v>
      </c>
      <c r="AR30" s="889"/>
      <c r="AS30" s="892"/>
      <c r="AT30" s="894"/>
      <c r="AU30" s="889">
        <v>3.6230000000000002</v>
      </c>
      <c r="AV30" s="889"/>
      <c r="AW30" s="892"/>
      <c r="AX30" s="894"/>
      <c r="AY30" s="889">
        <v>3.6230000000000002</v>
      </c>
      <c r="AZ30" s="889"/>
      <c r="BA30" s="892"/>
      <c r="BB30" s="894"/>
      <c r="BC30" s="889">
        <v>3.6230000000000002</v>
      </c>
      <c r="BD30" s="889"/>
      <c r="BE30" s="892"/>
      <c r="BF30" s="894"/>
      <c r="BG30" s="889">
        <v>3.6230000000000002</v>
      </c>
      <c r="BH30" s="889"/>
      <c r="BI30" s="896"/>
    </row>
    <row r="31" spans="1:62" x14ac:dyDescent="0.25">
      <c r="A31" s="1200"/>
      <c r="B31" s="53" t="s">
        <v>39</v>
      </c>
      <c r="C31" s="53"/>
      <c r="D31" s="78"/>
      <c r="E31" s="78"/>
      <c r="F31" s="78"/>
      <c r="G31" s="78"/>
      <c r="H31" s="79"/>
      <c r="I31" s="117"/>
      <c r="J31" s="117"/>
      <c r="K31" s="78"/>
      <c r="L31" s="78"/>
      <c r="M31" s="78"/>
      <c r="N31" s="248"/>
      <c r="O31" s="276"/>
      <c r="P31" s="78"/>
      <c r="Q31" s="78"/>
      <c r="R31" s="79"/>
      <c r="S31" s="258"/>
      <c r="T31" s="78"/>
      <c r="U31" s="78"/>
      <c r="V31" s="248"/>
      <c r="W31" s="276"/>
      <c r="X31" s="78">
        <v>6.4420000000000002</v>
      </c>
      <c r="Y31" s="78"/>
      <c r="Z31" s="79"/>
      <c r="AA31" s="258"/>
      <c r="AB31" s="78">
        <v>6.4420000000000002</v>
      </c>
      <c r="AC31" s="78"/>
      <c r="AD31" s="79"/>
      <c r="AE31" s="276"/>
      <c r="AF31" s="78">
        <v>6.4420000000000002</v>
      </c>
      <c r="AG31" s="78"/>
      <c r="AH31" s="79"/>
      <c r="AI31" s="94"/>
      <c r="AL31" s="894"/>
      <c r="AM31" s="889"/>
      <c r="AN31" s="889">
        <v>5.5979999999999999</v>
      </c>
      <c r="AO31" s="892"/>
      <c r="AP31" s="894"/>
      <c r="AQ31" s="889"/>
      <c r="AR31" s="889">
        <v>5.5979999999999999</v>
      </c>
      <c r="AS31" s="892"/>
      <c r="AT31" s="894"/>
      <c r="AU31" s="889"/>
      <c r="AV31" s="889">
        <v>5.5979999999999999</v>
      </c>
      <c r="AW31" s="892"/>
      <c r="AX31" s="894"/>
      <c r="AY31" s="889"/>
      <c r="AZ31" s="889">
        <v>5.798</v>
      </c>
      <c r="BA31" s="892"/>
      <c r="BB31" s="894"/>
      <c r="BC31" s="889"/>
      <c r="BD31" s="889">
        <v>5.798</v>
      </c>
      <c r="BE31" s="892"/>
      <c r="BF31" s="894"/>
      <c r="BG31" s="889"/>
      <c r="BH31" s="889">
        <v>5.798</v>
      </c>
      <c r="BI31" s="896"/>
    </row>
    <row r="32" spans="1:62" ht="13.8" thickBot="1" x14ac:dyDescent="0.3">
      <c r="A32" s="1201"/>
      <c r="B32" s="51" t="s">
        <v>40</v>
      </c>
      <c r="C32" s="51"/>
      <c r="D32" s="80"/>
      <c r="E32" s="80"/>
      <c r="F32" s="80"/>
      <c r="G32" s="80"/>
      <c r="H32" s="81"/>
      <c r="I32" s="121"/>
      <c r="J32" s="121"/>
      <c r="K32" s="80"/>
      <c r="L32" s="80"/>
      <c r="M32" s="80"/>
      <c r="N32" s="249"/>
      <c r="O32" s="277"/>
      <c r="P32" s="80"/>
      <c r="Q32" s="80"/>
      <c r="R32" s="81"/>
      <c r="S32" s="259"/>
      <c r="T32" s="80"/>
      <c r="U32" s="80"/>
      <c r="V32" s="249"/>
      <c r="W32" s="277"/>
      <c r="X32" s="80"/>
      <c r="Y32" s="80"/>
      <c r="Z32" s="81">
        <v>9.9060000000000006</v>
      </c>
      <c r="AA32" s="259"/>
      <c r="AB32" s="80"/>
      <c r="AC32" s="80"/>
      <c r="AD32" s="81">
        <v>9.9060000000000006</v>
      </c>
      <c r="AE32" s="277"/>
      <c r="AF32" s="80"/>
      <c r="AG32" s="80"/>
      <c r="AH32" s="81">
        <v>9.9060000000000006</v>
      </c>
      <c r="AI32" s="94"/>
      <c r="AL32" s="895"/>
      <c r="AM32" s="890"/>
      <c r="AN32" s="890"/>
      <c r="AO32" s="893">
        <v>8.9149999999999991</v>
      </c>
      <c r="AP32" s="895"/>
      <c r="AQ32" s="890"/>
      <c r="AR32" s="890"/>
      <c r="AS32" s="893">
        <v>8.9149999999999991</v>
      </c>
      <c r="AT32" s="895"/>
      <c r="AU32" s="890"/>
      <c r="AV32" s="890"/>
      <c r="AW32" s="893">
        <v>8.9149999999999991</v>
      </c>
      <c r="AX32" s="895"/>
      <c r="AY32" s="890"/>
      <c r="AZ32" s="890"/>
      <c r="BA32" s="893">
        <v>8.9149999999999991</v>
      </c>
      <c r="BB32" s="895"/>
      <c r="BC32" s="890"/>
      <c r="BD32" s="890"/>
      <c r="BE32" s="893">
        <v>8.9149999999999991</v>
      </c>
      <c r="BF32" s="895"/>
      <c r="BG32" s="890"/>
      <c r="BH32" s="890"/>
      <c r="BI32" s="891">
        <v>8.9149999999999991</v>
      </c>
    </row>
    <row r="33" spans="1:61" ht="52.8" x14ac:dyDescent="0.25">
      <c r="A33" s="1198" t="s">
        <v>28</v>
      </c>
      <c r="B33" s="14" t="s">
        <v>31</v>
      </c>
      <c r="C33" s="14"/>
      <c r="D33" s="82"/>
      <c r="E33" s="82"/>
      <c r="F33" s="82"/>
      <c r="G33" s="82"/>
      <c r="H33" s="83"/>
      <c r="I33" s="116"/>
      <c r="J33" s="116"/>
      <c r="K33" s="666">
        <v>3.0880000000000001</v>
      </c>
      <c r="L33" s="667"/>
      <c r="M33" s="667"/>
      <c r="N33" s="668"/>
      <c r="O33" s="666">
        <v>3.1659999999999999</v>
      </c>
      <c r="P33" s="667"/>
      <c r="Q33" s="667"/>
      <c r="R33" s="668"/>
      <c r="S33" s="666">
        <v>3.2440000000000002</v>
      </c>
      <c r="T33" s="667"/>
      <c r="U33" s="667"/>
      <c r="V33" s="668"/>
      <c r="W33" s="666">
        <v>3.3220000000000001</v>
      </c>
      <c r="X33" s="667"/>
      <c r="Y33" s="667"/>
      <c r="Z33" s="668"/>
      <c r="AA33" s="685">
        <v>3.4</v>
      </c>
      <c r="AB33" s="686"/>
      <c r="AC33" s="686"/>
      <c r="AD33" s="687"/>
      <c r="AE33" s="685">
        <v>3.4</v>
      </c>
      <c r="AF33" s="667"/>
      <c r="AG33" s="667"/>
      <c r="AH33" s="668"/>
      <c r="AI33" s="460"/>
      <c r="AJ33" s="973" t="s">
        <v>229</v>
      </c>
      <c r="AK33" s="1034"/>
      <c r="AL33" s="976">
        <v>3.4</v>
      </c>
      <c r="AM33" s="977"/>
      <c r="AN33" s="699"/>
      <c r="AO33" s="728"/>
      <c r="AP33" s="976">
        <v>3.4</v>
      </c>
      <c r="AQ33" s="699"/>
      <c r="AR33" s="699"/>
      <c r="AS33" s="728"/>
      <c r="AT33" s="976">
        <v>3.4</v>
      </c>
      <c r="AU33" s="699"/>
      <c r="AV33" s="699"/>
      <c r="AW33" s="728"/>
      <c r="AX33" s="976">
        <v>3.4</v>
      </c>
      <c r="AY33" s="699"/>
      <c r="AZ33" s="699"/>
      <c r="BA33" s="728"/>
      <c r="BB33" s="976">
        <v>3.4</v>
      </c>
      <c r="BC33" s="699"/>
      <c r="BD33" s="699"/>
      <c r="BE33" s="728"/>
      <c r="BF33" s="976">
        <v>3.4</v>
      </c>
      <c r="BG33" s="699"/>
      <c r="BH33" s="699"/>
      <c r="BI33" s="728"/>
    </row>
    <row r="34" spans="1:61" x14ac:dyDescent="0.25">
      <c r="A34" s="1200"/>
      <c r="B34" s="53" t="s">
        <v>32</v>
      </c>
      <c r="C34" s="53"/>
      <c r="D34" s="84"/>
      <c r="E34" s="84"/>
      <c r="F34" s="84"/>
      <c r="G34" s="84"/>
      <c r="H34" s="85"/>
      <c r="I34" s="122"/>
      <c r="J34" s="122"/>
      <c r="K34" s="279">
        <v>1.6160000000000001</v>
      </c>
      <c r="L34" s="84"/>
      <c r="M34" s="84"/>
      <c r="N34" s="85"/>
      <c r="O34" s="279">
        <v>1.732</v>
      </c>
      <c r="P34" s="84"/>
      <c r="Q34" s="84"/>
      <c r="R34" s="85"/>
      <c r="S34" s="279">
        <v>1.8480000000000001</v>
      </c>
      <c r="T34" s="84"/>
      <c r="U34" s="84"/>
      <c r="V34" s="85"/>
      <c r="W34" s="279">
        <v>1.964</v>
      </c>
      <c r="X34" s="84"/>
      <c r="Y34" s="84"/>
      <c r="Z34" s="85"/>
      <c r="AA34" s="681">
        <v>2.08</v>
      </c>
      <c r="AB34" s="679"/>
      <c r="AC34" s="679"/>
      <c r="AD34" s="680"/>
      <c r="AE34" s="681">
        <v>2.08</v>
      </c>
      <c r="AF34" s="84"/>
      <c r="AG34" s="84"/>
      <c r="AH34" s="85"/>
      <c r="AI34" s="460"/>
      <c r="AJ34" s="974" t="s">
        <v>231</v>
      </c>
      <c r="AK34" s="1035"/>
      <c r="AL34" s="961">
        <v>2.08</v>
      </c>
      <c r="AM34" s="959"/>
      <c r="AN34" s="168"/>
      <c r="AO34" s="169"/>
      <c r="AP34" s="961">
        <v>2.08</v>
      </c>
      <c r="AQ34" s="959"/>
      <c r="AR34" s="168"/>
      <c r="AS34" s="169"/>
      <c r="AT34" s="961">
        <v>2.08</v>
      </c>
      <c r="AU34" s="959"/>
      <c r="AV34" s="168"/>
      <c r="AW34" s="169"/>
      <c r="AX34" s="961">
        <v>2.08</v>
      </c>
      <c r="AY34" s="959"/>
      <c r="AZ34" s="168"/>
      <c r="BA34" s="169"/>
      <c r="BB34" s="961">
        <v>2.08</v>
      </c>
      <c r="BC34" s="959"/>
      <c r="BD34" s="168"/>
      <c r="BE34" s="169"/>
      <c r="BF34" s="1092">
        <v>2.08</v>
      </c>
      <c r="BG34" s="959"/>
      <c r="BH34" s="168"/>
      <c r="BI34" s="169"/>
    </row>
    <row r="35" spans="1:61" ht="66" x14ac:dyDescent="0.25">
      <c r="A35" s="1200"/>
      <c r="B35" s="53" t="s">
        <v>33</v>
      </c>
      <c r="C35" s="53"/>
      <c r="D35" s="84"/>
      <c r="E35" s="84"/>
      <c r="F35" s="84"/>
      <c r="G35" s="84"/>
      <c r="H35" s="85"/>
      <c r="I35" s="122"/>
      <c r="J35" s="122"/>
      <c r="K35" s="279"/>
      <c r="L35" s="679">
        <v>5.2</v>
      </c>
      <c r="M35" s="679"/>
      <c r="N35" s="680"/>
      <c r="O35" s="681"/>
      <c r="P35" s="679">
        <v>5.2</v>
      </c>
      <c r="Q35" s="679"/>
      <c r="R35" s="680"/>
      <c r="S35" s="681"/>
      <c r="T35" s="679">
        <v>5.2</v>
      </c>
      <c r="U35" s="679"/>
      <c r="V35" s="680"/>
      <c r="W35" s="681"/>
      <c r="X35" s="679">
        <v>5.2</v>
      </c>
      <c r="Y35" s="679"/>
      <c r="Z35" s="680"/>
      <c r="AA35" s="681"/>
      <c r="AB35" s="679">
        <v>5.2</v>
      </c>
      <c r="AC35" s="679"/>
      <c r="AD35" s="680"/>
      <c r="AE35" s="681"/>
      <c r="AF35" s="679">
        <v>5.2</v>
      </c>
      <c r="AG35" s="679"/>
      <c r="AH35" s="680"/>
      <c r="AI35" s="557"/>
      <c r="AJ35" s="974" t="s">
        <v>230</v>
      </c>
      <c r="AK35" s="1035"/>
      <c r="AL35" s="961"/>
      <c r="AM35" s="977">
        <v>5.2</v>
      </c>
      <c r="AN35" s="729"/>
      <c r="AO35" s="730"/>
      <c r="AP35" s="961"/>
      <c r="AQ35" s="977">
        <v>5.2</v>
      </c>
      <c r="AR35" s="729"/>
      <c r="AS35" s="730"/>
      <c r="AT35" s="961"/>
      <c r="AU35" s="977">
        <v>5.2</v>
      </c>
      <c r="AV35" s="729"/>
      <c r="AW35" s="730"/>
      <c r="AX35" s="961"/>
      <c r="AY35" s="977">
        <v>5.2</v>
      </c>
      <c r="AZ35" s="729"/>
      <c r="BA35" s="730"/>
      <c r="BB35" s="961"/>
      <c r="BC35" s="977">
        <v>5.2</v>
      </c>
      <c r="BD35" s="729"/>
      <c r="BE35" s="730"/>
      <c r="BF35" s="961"/>
      <c r="BG35" s="977">
        <v>5.2</v>
      </c>
      <c r="BH35" s="729"/>
      <c r="BI35" s="730"/>
    </row>
    <row r="36" spans="1:61" ht="13.8" thickBot="1" x14ac:dyDescent="0.3">
      <c r="A36" s="1201"/>
      <c r="B36" s="51" t="s">
        <v>15</v>
      </c>
      <c r="C36" s="51"/>
      <c r="D36" s="71"/>
      <c r="E36" s="71"/>
      <c r="F36" s="71"/>
      <c r="G36" s="71"/>
      <c r="H36" s="71"/>
      <c r="I36" s="118"/>
      <c r="J36" s="669"/>
      <c r="K36" s="670"/>
      <c r="L36" s="682"/>
      <c r="M36" s="682"/>
      <c r="N36" s="683">
        <v>14.4</v>
      </c>
      <c r="O36" s="684"/>
      <c r="P36" s="682"/>
      <c r="Q36" s="682"/>
      <c r="R36" s="683">
        <v>14.4</v>
      </c>
      <c r="S36" s="684"/>
      <c r="T36" s="682"/>
      <c r="U36" s="682"/>
      <c r="V36" s="683">
        <v>14.4</v>
      </c>
      <c r="W36" s="684"/>
      <c r="X36" s="682"/>
      <c r="Y36" s="682"/>
      <c r="Z36" s="683">
        <v>14.4</v>
      </c>
      <c r="AA36" s="684"/>
      <c r="AB36" s="682"/>
      <c r="AC36" s="682"/>
      <c r="AD36" s="683">
        <v>14.4</v>
      </c>
      <c r="AE36" s="684"/>
      <c r="AF36" s="682"/>
      <c r="AG36" s="682"/>
      <c r="AH36" s="683">
        <v>14.4</v>
      </c>
      <c r="AI36" s="557"/>
      <c r="AL36" s="731"/>
      <c r="AM36" s="732"/>
      <c r="AN36" s="732"/>
      <c r="AO36" s="978">
        <v>14.4</v>
      </c>
      <c r="AP36" s="731"/>
      <c r="AQ36" s="732"/>
      <c r="AR36" s="732"/>
      <c r="AS36" s="978">
        <v>14.4</v>
      </c>
      <c r="AT36" s="731"/>
      <c r="AU36" s="732"/>
      <c r="AV36" s="732"/>
      <c r="AW36" s="978">
        <v>14.4</v>
      </c>
      <c r="AX36" s="731"/>
      <c r="AY36" s="732"/>
      <c r="AZ36" s="732"/>
      <c r="BA36" s="978">
        <v>14.4</v>
      </c>
      <c r="BB36" s="731"/>
      <c r="BC36" s="732"/>
      <c r="BD36" s="732"/>
      <c r="BE36" s="978">
        <v>14.4</v>
      </c>
      <c r="BF36" s="731"/>
      <c r="BG36" s="732"/>
      <c r="BH36" s="732"/>
      <c r="BI36" s="978">
        <v>14.4</v>
      </c>
    </row>
    <row r="37" spans="1:61" ht="13.8" x14ac:dyDescent="0.25">
      <c r="A37" s="1198" t="s">
        <v>29</v>
      </c>
      <c r="B37" s="14" t="s">
        <v>42</v>
      </c>
      <c r="C37" s="14"/>
      <c r="D37" s="86"/>
      <c r="E37" s="86"/>
      <c r="F37" s="86"/>
      <c r="G37" s="86"/>
      <c r="H37" s="87"/>
      <c r="I37" s="116"/>
      <c r="J37" s="330" t="s">
        <v>154</v>
      </c>
      <c r="K37" s="335">
        <v>2.6909999999999998</v>
      </c>
      <c r="L37" s="333"/>
      <c r="M37" s="333"/>
      <c r="N37" s="336"/>
      <c r="O37" s="335">
        <v>3</v>
      </c>
      <c r="P37" s="333"/>
      <c r="Q37" s="333"/>
      <c r="R37" s="336"/>
      <c r="S37" s="335">
        <v>3</v>
      </c>
      <c r="T37" s="333"/>
      <c r="U37" s="333"/>
      <c r="V37" s="336"/>
      <c r="W37" s="335">
        <v>3</v>
      </c>
      <c r="X37" s="333"/>
      <c r="Y37" s="333"/>
      <c r="Z37" s="336"/>
      <c r="AA37" s="335">
        <v>3</v>
      </c>
      <c r="AB37" s="333"/>
      <c r="AC37" s="333"/>
      <c r="AD37" s="336"/>
      <c r="AE37" s="335">
        <v>3</v>
      </c>
      <c r="AF37" s="333"/>
      <c r="AG37" s="333"/>
      <c r="AH37" s="336"/>
      <c r="AI37" s="460"/>
      <c r="AJ37" s="1264" t="s">
        <v>255</v>
      </c>
      <c r="AK37" s="1031"/>
      <c r="AL37" s="335">
        <v>3</v>
      </c>
      <c r="AM37" s="333"/>
      <c r="AN37" s="333"/>
      <c r="AO37" s="336"/>
      <c r="AP37" s="335">
        <v>3</v>
      </c>
      <c r="AQ37" s="333"/>
      <c r="AR37" s="333"/>
      <c r="AS37" s="336"/>
      <c r="AT37" s="335">
        <v>3</v>
      </c>
      <c r="AU37" s="333"/>
      <c r="AV37" s="333"/>
      <c r="AW37" s="336"/>
      <c r="AX37" s="335">
        <v>3</v>
      </c>
      <c r="AY37" s="333"/>
      <c r="AZ37" s="333"/>
      <c r="BA37" s="336"/>
      <c r="BB37" s="335">
        <v>3</v>
      </c>
      <c r="BC37" s="333"/>
      <c r="BD37" s="333"/>
      <c r="BE37" s="336"/>
      <c r="BF37" s="335">
        <v>3</v>
      </c>
      <c r="BG37" s="333"/>
      <c r="BH37" s="333"/>
      <c r="BI37" s="336"/>
    </row>
    <row r="38" spans="1:61" ht="13.8" x14ac:dyDescent="0.25">
      <c r="A38" s="1200"/>
      <c r="B38" s="18" t="s">
        <v>43</v>
      </c>
      <c r="C38" s="18"/>
      <c r="D38" s="88"/>
      <c r="E38" s="88"/>
      <c r="F38" s="88"/>
      <c r="G38" s="88"/>
      <c r="H38" s="89"/>
      <c r="I38" s="117"/>
      <c r="J38" s="331" t="s">
        <v>156</v>
      </c>
      <c r="K38" s="340">
        <v>4.5419999999999998</v>
      </c>
      <c r="L38" s="338"/>
      <c r="M38" s="338"/>
      <c r="N38" s="341"/>
      <c r="O38" s="340">
        <v>5.4</v>
      </c>
      <c r="P38" s="338"/>
      <c r="Q38" s="338"/>
      <c r="R38" s="341"/>
      <c r="S38" s="340">
        <v>5.4</v>
      </c>
      <c r="T38" s="338"/>
      <c r="U38" s="338"/>
      <c r="V38" s="341"/>
      <c r="W38" s="340">
        <v>5.4</v>
      </c>
      <c r="X38" s="338"/>
      <c r="Y38" s="338"/>
      <c r="Z38" s="341"/>
      <c r="AA38" s="340">
        <v>5.4</v>
      </c>
      <c r="AB38" s="338"/>
      <c r="AC38" s="338"/>
      <c r="AD38" s="341"/>
      <c r="AE38" s="340">
        <v>5.4</v>
      </c>
      <c r="AF38" s="338"/>
      <c r="AG38" s="338"/>
      <c r="AH38" s="341"/>
      <c r="AI38" s="460"/>
      <c r="AJ38" s="1265"/>
      <c r="AK38" s="1032"/>
      <c r="AL38" s="340"/>
      <c r="AM38" s="338">
        <v>4.66</v>
      </c>
      <c r="AN38" s="338"/>
      <c r="AO38" s="341"/>
      <c r="AP38" s="340"/>
      <c r="AQ38" s="338">
        <v>4.66</v>
      </c>
      <c r="AR38" s="338"/>
      <c r="AS38" s="341"/>
      <c r="AT38" s="340"/>
      <c r="AU38" s="338">
        <v>4.66</v>
      </c>
      <c r="AV38" s="338"/>
      <c r="AW38" s="341"/>
      <c r="AX38" s="340"/>
      <c r="AY38" s="338">
        <v>4.66</v>
      </c>
      <c r="AZ38" s="338"/>
      <c r="BA38" s="341"/>
      <c r="BB38" s="340"/>
      <c r="BC38" s="338">
        <v>4.66</v>
      </c>
      <c r="BD38" s="338"/>
      <c r="BE38" s="341"/>
      <c r="BF38" s="340"/>
      <c r="BG38" s="338">
        <v>4.66</v>
      </c>
      <c r="BH38" s="338"/>
      <c r="BI38" s="341"/>
    </row>
    <row r="39" spans="1:61" ht="13.8" x14ac:dyDescent="0.25">
      <c r="A39" s="1200"/>
      <c r="B39" s="18" t="s">
        <v>44</v>
      </c>
      <c r="C39" s="18"/>
      <c r="D39" s="88"/>
      <c r="E39" s="88"/>
      <c r="F39" s="88"/>
      <c r="G39" s="88"/>
      <c r="H39" s="89"/>
      <c r="I39" s="117"/>
      <c r="J39" s="331" t="s">
        <v>157</v>
      </c>
      <c r="K39" s="340">
        <v>5.5279999999999996</v>
      </c>
      <c r="L39" s="338"/>
      <c r="M39" s="338"/>
      <c r="N39" s="341"/>
      <c r="O39" s="340">
        <v>6.8310000000000004</v>
      </c>
      <c r="P39" s="338"/>
      <c r="Q39" s="338"/>
      <c r="R39" s="341"/>
      <c r="S39" s="340">
        <v>6.8310000000000004</v>
      </c>
      <c r="T39" s="338"/>
      <c r="U39" s="338"/>
      <c r="V39" s="341"/>
      <c r="W39" s="340">
        <v>6.8310000000000004</v>
      </c>
      <c r="X39" s="338"/>
      <c r="Y39" s="338"/>
      <c r="Z39" s="341"/>
      <c r="AA39" s="340">
        <v>6.8310000000000004</v>
      </c>
      <c r="AB39" s="338"/>
      <c r="AC39" s="338"/>
      <c r="AD39" s="341"/>
      <c r="AE39" s="340">
        <v>6.8310000000000004</v>
      </c>
      <c r="AF39" s="338"/>
      <c r="AG39" s="338"/>
      <c r="AH39" s="341"/>
      <c r="AI39" s="460"/>
      <c r="AJ39" s="1265" t="s">
        <v>256</v>
      </c>
      <c r="AK39" s="1049"/>
      <c r="AL39" s="340">
        <v>3</v>
      </c>
      <c r="AM39" s="338"/>
      <c r="AN39" s="338"/>
      <c r="AO39" s="341"/>
      <c r="AP39" s="340">
        <v>3</v>
      </c>
      <c r="AQ39" s="338"/>
      <c r="AR39" s="338"/>
      <c r="AS39" s="341"/>
      <c r="AT39" s="340">
        <v>3</v>
      </c>
      <c r="AU39" s="338"/>
      <c r="AV39" s="338"/>
      <c r="AW39" s="341"/>
      <c r="AX39" s="340">
        <v>3</v>
      </c>
      <c r="AY39" s="338"/>
      <c r="AZ39" s="338"/>
      <c r="BA39" s="341"/>
      <c r="BB39" s="340">
        <v>3</v>
      </c>
      <c r="BC39" s="338"/>
      <c r="BD39" s="338"/>
      <c r="BE39" s="341"/>
      <c r="BF39" s="340">
        <v>3</v>
      </c>
      <c r="BG39" s="338"/>
      <c r="BH39" s="338"/>
      <c r="BI39" s="341"/>
    </row>
    <row r="40" spans="1:61" ht="13.8" x14ac:dyDescent="0.25">
      <c r="A40" s="1200"/>
      <c r="B40" s="18" t="s">
        <v>52</v>
      </c>
      <c r="C40" s="18"/>
      <c r="D40" s="88"/>
      <c r="E40" s="88"/>
      <c r="F40" s="88"/>
      <c r="G40" s="88"/>
      <c r="H40" s="89"/>
      <c r="I40" s="117"/>
      <c r="J40" s="331"/>
      <c r="K40" s="340"/>
      <c r="L40" s="338"/>
      <c r="M40" s="338"/>
      <c r="N40" s="341"/>
      <c r="O40" s="340"/>
      <c r="P40" s="338"/>
      <c r="Q40" s="338"/>
      <c r="R40" s="341"/>
      <c r="S40" s="340"/>
      <c r="T40" s="338"/>
      <c r="U40" s="338"/>
      <c r="V40" s="341"/>
      <c r="W40" s="340"/>
      <c r="X40" s="338"/>
      <c r="Y40" s="338"/>
      <c r="Z40" s="341"/>
      <c r="AA40" s="340"/>
      <c r="AB40" s="338"/>
      <c r="AC40" s="338"/>
      <c r="AD40" s="341"/>
      <c r="AE40" s="340"/>
      <c r="AF40" s="338"/>
      <c r="AG40" s="338"/>
      <c r="AH40" s="341"/>
      <c r="AI40" s="460"/>
      <c r="AJ40" s="1265"/>
      <c r="AK40" s="1032"/>
      <c r="AL40" s="340"/>
      <c r="AM40" s="338">
        <v>4.66</v>
      </c>
      <c r="AN40" s="338"/>
      <c r="AO40" s="341"/>
      <c r="AP40" s="340"/>
      <c r="AQ40" s="338">
        <v>4.66</v>
      </c>
      <c r="AR40" s="338"/>
      <c r="AS40" s="341"/>
      <c r="AT40" s="340"/>
      <c r="AU40" s="338">
        <v>4.66</v>
      </c>
      <c r="AV40" s="338"/>
      <c r="AW40" s="341"/>
      <c r="AX40" s="340"/>
      <c r="AY40" s="338">
        <v>4.66</v>
      </c>
      <c r="AZ40" s="338"/>
      <c r="BA40" s="341"/>
      <c r="BB40" s="340"/>
      <c r="BC40" s="338">
        <v>4.66</v>
      </c>
      <c r="BD40" s="338"/>
      <c r="BE40" s="341"/>
      <c r="BF40" s="340"/>
      <c r="BG40" s="338">
        <v>4.66</v>
      </c>
      <c r="BH40" s="338"/>
      <c r="BI40" s="341"/>
    </row>
    <row r="41" spans="1:61" ht="13.8" x14ac:dyDescent="0.25">
      <c r="A41" s="1200"/>
      <c r="B41" s="18" t="s">
        <v>45</v>
      </c>
      <c r="C41" s="18"/>
      <c r="D41" s="88"/>
      <c r="E41" s="88"/>
      <c r="F41" s="88"/>
      <c r="G41" s="88"/>
      <c r="H41" s="89"/>
      <c r="I41" s="117"/>
      <c r="J41" s="331" t="s">
        <v>155</v>
      </c>
      <c r="K41" s="340"/>
      <c r="L41" s="338">
        <v>4.66</v>
      </c>
      <c r="M41" s="338"/>
      <c r="N41" s="341"/>
      <c r="O41" s="340"/>
      <c r="P41" s="338">
        <v>4.66</v>
      </c>
      <c r="Q41" s="338"/>
      <c r="R41" s="341"/>
      <c r="S41" s="340"/>
      <c r="T41" s="338">
        <v>4.66</v>
      </c>
      <c r="U41" s="338"/>
      <c r="V41" s="341"/>
      <c r="W41" s="340"/>
      <c r="X41" s="338">
        <v>4.66</v>
      </c>
      <c r="Y41" s="338"/>
      <c r="Z41" s="341"/>
      <c r="AA41" s="340"/>
      <c r="AB41" s="338">
        <v>4.66</v>
      </c>
      <c r="AC41" s="338"/>
      <c r="AD41" s="341"/>
      <c r="AE41" s="340"/>
      <c r="AF41" s="338">
        <v>4.66</v>
      </c>
      <c r="AG41" s="338"/>
      <c r="AH41" s="341"/>
      <c r="AI41" s="460"/>
      <c r="AJ41" s="1265" t="s">
        <v>257</v>
      </c>
      <c r="AK41" s="1032" t="s">
        <v>31</v>
      </c>
      <c r="AL41" s="340"/>
      <c r="AM41" s="338"/>
      <c r="AN41" s="338"/>
      <c r="AO41" s="341">
        <v>6.8310000000000004</v>
      </c>
      <c r="AP41" s="340"/>
      <c r="AQ41" s="338"/>
      <c r="AR41" s="338"/>
      <c r="AS41" s="341">
        <v>6.8310000000000004</v>
      </c>
      <c r="AT41" s="340"/>
      <c r="AU41" s="338"/>
      <c r="AV41" s="338"/>
      <c r="AW41" s="341">
        <v>6.8310000000000004</v>
      </c>
      <c r="AX41" s="340"/>
      <c r="AY41" s="338"/>
      <c r="AZ41" s="338"/>
      <c r="BA41" s="341">
        <v>6.8310000000000004</v>
      </c>
      <c r="BB41" s="340"/>
      <c r="BC41" s="338"/>
      <c r="BD41" s="338"/>
      <c r="BE41" s="341">
        <v>6.8310000000000004</v>
      </c>
      <c r="BF41" s="340"/>
      <c r="BG41" s="338"/>
      <c r="BH41" s="338"/>
      <c r="BI41" s="341">
        <v>6.8310000000000004</v>
      </c>
    </row>
    <row r="42" spans="1:61" ht="13.8" x14ac:dyDescent="0.25">
      <c r="A42" s="1200"/>
      <c r="B42" s="18" t="s">
        <v>46</v>
      </c>
      <c r="C42" s="18"/>
      <c r="D42" s="88"/>
      <c r="E42" s="88"/>
      <c r="F42" s="88"/>
      <c r="G42" s="88"/>
      <c r="H42" s="89"/>
      <c r="I42" s="117"/>
      <c r="J42" s="331" t="s">
        <v>158</v>
      </c>
      <c r="K42" s="340">
        <v>6.4580000000000002</v>
      </c>
      <c r="L42" s="338">
        <v>6.8310000000000004</v>
      </c>
      <c r="M42" s="338"/>
      <c r="N42" s="341"/>
      <c r="O42" s="340"/>
      <c r="P42" s="338">
        <v>6.8310000000000004</v>
      </c>
      <c r="Q42" s="338"/>
      <c r="R42" s="341"/>
      <c r="S42" s="340"/>
      <c r="T42" s="338">
        <v>6.8310000000000004</v>
      </c>
      <c r="U42" s="338"/>
      <c r="V42" s="341"/>
      <c r="W42" s="340"/>
      <c r="X42" s="338">
        <v>6.8310000000000004</v>
      </c>
      <c r="Y42" s="338"/>
      <c r="Z42" s="341"/>
      <c r="AA42" s="340"/>
      <c r="AB42" s="338">
        <v>6.8310000000000004</v>
      </c>
      <c r="AC42" s="338"/>
      <c r="AD42" s="341"/>
      <c r="AE42" s="340"/>
      <c r="AF42" s="338">
        <v>6.8310000000000004</v>
      </c>
      <c r="AG42" s="338"/>
      <c r="AH42" s="341"/>
      <c r="AI42" s="460"/>
      <c r="AJ42" s="1265"/>
      <c r="AK42" s="1032" t="s">
        <v>33</v>
      </c>
      <c r="AL42" s="340"/>
      <c r="AM42" s="338"/>
      <c r="AN42" s="338"/>
      <c r="AO42" s="341">
        <v>6.8310000000000004</v>
      </c>
      <c r="AP42" s="340"/>
      <c r="AQ42" s="338"/>
      <c r="AR42" s="338"/>
      <c r="AS42" s="341">
        <v>6.8310000000000004</v>
      </c>
      <c r="AT42" s="340"/>
      <c r="AU42" s="338"/>
      <c r="AV42" s="338"/>
      <c r="AW42" s="341">
        <v>6.8310000000000004</v>
      </c>
      <c r="AX42" s="340"/>
      <c r="AY42" s="338"/>
      <c r="AZ42" s="338"/>
      <c r="BA42" s="341">
        <v>6.8310000000000004</v>
      </c>
      <c r="BB42" s="340"/>
      <c r="BC42" s="338"/>
      <c r="BD42" s="338"/>
      <c r="BE42" s="341">
        <v>6.8310000000000004</v>
      </c>
      <c r="BF42" s="340"/>
      <c r="BG42" s="338"/>
      <c r="BH42" s="338"/>
      <c r="BI42" s="341">
        <v>6.8310000000000004</v>
      </c>
    </row>
    <row r="43" spans="1:61" ht="13.8" x14ac:dyDescent="0.25">
      <c r="A43" s="1200"/>
      <c r="B43" s="18" t="s">
        <v>47</v>
      </c>
      <c r="C43" s="18"/>
      <c r="D43" s="88"/>
      <c r="E43" s="88"/>
      <c r="F43" s="88"/>
      <c r="G43" s="88"/>
      <c r="H43" s="89"/>
      <c r="I43" s="117"/>
      <c r="J43" s="331"/>
      <c r="K43" s="340"/>
      <c r="L43" s="338"/>
      <c r="M43" s="338"/>
      <c r="N43" s="341"/>
      <c r="O43" s="340"/>
      <c r="P43" s="338"/>
      <c r="Q43" s="338"/>
      <c r="R43" s="341"/>
      <c r="S43" s="340"/>
      <c r="T43" s="338"/>
      <c r="U43" s="338"/>
      <c r="V43" s="341"/>
      <c r="W43" s="340"/>
      <c r="X43" s="338"/>
      <c r="Y43" s="338"/>
      <c r="Z43" s="341"/>
      <c r="AA43" s="340"/>
      <c r="AB43" s="338"/>
      <c r="AC43" s="338"/>
      <c r="AD43" s="341"/>
      <c r="AE43" s="340"/>
      <c r="AF43" s="338"/>
      <c r="AG43" s="338"/>
      <c r="AH43" s="341"/>
      <c r="AI43" s="460"/>
      <c r="AJ43" s="1265" t="s">
        <v>258</v>
      </c>
      <c r="AK43" s="1032" t="s">
        <v>31</v>
      </c>
      <c r="AL43" s="340"/>
      <c r="AM43" s="338"/>
      <c r="AN43" s="338"/>
      <c r="AO43" s="341">
        <v>6.8310000000000004</v>
      </c>
      <c r="AP43" s="340"/>
      <c r="AQ43" s="338"/>
      <c r="AR43" s="338"/>
      <c r="AS43" s="341">
        <v>6.8310000000000004</v>
      </c>
      <c r="AT43" s="340"/>
      <c r="AU43" s="338"/>
      <c r="AV43" s="338"/>
      <c r="AW43" s="341">
        <v>6.8310000000000004</v>
      </c>
      <c r="AX43" s="340"/>
      <c r="AY43" s="338"/>
      <c r="AZ43" s="338"/>
      <c r="BA43" s="341">
        <v>6.8310000000000004</v>
      </c>
      <c r="BB43" s="340"/>
      <c r="BC43" s="338"/>
      <c r="BD43" s="338"/>
      <c r="BE43" s="341">
        <v>6.8310000000000004</v>
      </c>
      <c r="BF43" s="340"/>
      <c r="BG43" s="338"/>
      <c r="BH43" s="338"/>
      <c r="BI43" s="341">
        <v>6.8310000000000004</v>
      </c>
    </row>
    <row r="44" spans="1:61" ht="13.8" x14ac:dyDescent="0.25">
      <c r="A44" s="1200"/>
      <c r="B44" s="18" t="s">
        <v>48</v>
      </c>
      <c r="C44" s="18"/>
      <c r="D44" s="88"/>
      <c r="E44" s="88"/>
      <c r="F44" s="88"/>
      <c r="G44" s="88"/>
      <c r="H44" s="89"/>
      <c r="I44" s="117"/>
      <c r="J44" s="331" t="s">
        <v>159</v>
      </c>
      <c r="K44" s="340"/>
      <c r="L44" s="338"/>
      <c r="M44" s="338"/>
      <c r="N44" s="341">
        <v>5.5279999999999996</v>
      </c>
      <c r="O44" s="340"/>
      <c r="P44" s="338"/>
      <c r="Q44" s="338"/>
      <c r="R44" s="341">
        <v>6.8310000000000004</v>
      </c>
      <c r="S44" s="340"/>
      <c r="T44" s="338"/>
      <c r="U44" s="338"/>
      <c r="V44" s="341">
        <v>6.8310000000000004</v>
      </c>
      <c r="W44" s="340"/>
      <c r="X44" s="338"/>
      <c r="Y44" s="338"/>
      <c r="Z44" s="341">
        <v>6.8310000000000004</v>
      </c>
      <c r="AA44" s="340"/>
      <c r="AB44" s="338"/>
      <c r="AC44" s="338"/>
      <c r="AD44" s="341">
        <v>6.8310000000000004</v>
      </c>
      <c r="AE44" s="340"/>
      <c r="AF44" s="338"/>
      <c r="AG44" s="338"/>
      <c r="AH44" s="341">
        <v>6.8310000000000004</v>
      </c>
      <c r="AI44" s="460"/>
      <c r="AJ44" s="1265"/>
      <c r="AK44" s="1032" t="s">
        <v>33</v>
      </c>
      <c r="AL44" s="340"/>
      <c r="AM44" s="338"/>
      <c r="AN44" s="338"/>
      <c r="AO44" s="341">
        <v>6.8310000000000004</v>
      </c>
      <c r="AP44" s="340"/>
      <c r="AQ44" s="338"/>
      <c r="AR44" s="338"/>
      <c r="AS44" s="341">
        <v>6.8310000000000004</v>
      </c>
      <c r="AT44" s="340"/>
      <c r="AU44" s="338"/>
      <c r="AV44" s="338"/>
      <c r="AW44" s="341">
        <v>6.8310000000000004</v>
      </c>
      <c r="AX44" s="340"/>
      <c r="AY44" s="338"/>
      <c r="AZ44" s="338"/>
      <c r="BA44" s="341">
        <v>6.8310000000000004</v>
      </c>
      <c r="BB44" s="340"/>
      <c r="BC44" s="338"/>
      <c r="BD44" s="338"/>
      <c r="BE44" s="341">
        <v>6.8310000000000004</v>
      </c>
      <c r="BF44" s="340"/>
      <c r="BG44" s="338"/>
      <c r="BH44" s="338"/>
      <c r="BI44" s="341">
        <v>6.8310000000000004</v>
      </c>
    </row>
    <row r="45" spans="1:61" ht="13.8" x14ac:dyDescent="0.25">
      <c r="A45" s="1200"/>
      <c r="B45" s="18" t="s">
        <v>49</v>
      </c>
      <c r="C45" s="18"/>
      <c r="D45" s="88"/>
      <c r="E45" s="88"/>
      <c r="F45" s="88"/>
      <c r="G45" s="88"/>
      <c r="H45" s="89"/>
      <c r="I45" s="117"/>
      <c r="J45" s="331"/>
      <c r="K45" s="340"/>
      <c r="L45" s="338"/>
      <c r="M45" s="338"/>
      <c r="N45" s="341"/>
      <c r="O45" s="340"/>
      <c r="P45" s="338"/>
      <c r="Q45" s="338"/>
      <c r="R45" s="341"/>
      <c r="S45" s="340"/>
      <c r="T45" s="338"/>
      <c r="U45" s="338"/>
      <c r="V45" s="341"/>
      <c r="W45" s="340"/>
      <c r="X45" s="338"/>
      <c r="Y45" s="338"/>
      <c r="Z45" s="341"/>
      <c r="AA45" s="340"/>
      <c r="AB45" s="338"/>
      <c r="AC45" s="338"/>
      <c r="AD45" s="341"/>
      <c r="AE45" s="340"/>
      <c r="AF45" s="338"/>
      <c r="AG45" s="338"/>
      <c r="AH45" s="341"/>
      <c r="AI45" s="460"/>
      <c r="AJ45" s="1050"/>
      <c r="AK45" s="1051"/>
      <c r="AL45" s="340"/>
      <c r="AM45" s="338"/>
      <c r="AN45" s="338"/>
      <c r="AO45" s="341"/>
      <c r="AP45" s="340"/>
      <c r="AQ45" s="338"/>
      <c r="AR45" s="338"/>
      <c r="AS45" s="341"/>
      <c r="AT45" s="340"/>
      <c r="AU45" s="338"/>
      <c r="AV45" s="338"/>
      <c r="AW45" s="341"/>
      <c r="AX45" s="340"/>
      <c r="AY45" s="338"/>
      <c r="AZ45" s="338"/>
      <c r="BA45" s="341"/>
      <c r="BB45" s="340"/>
      <c r="BC45" s="338"/>
      <c r="BD45" s="338"/>
      <c r="BE45" s="341"/>
      <c r="BF45" s="340"/>
      <c r="BG45" s="338"/>
      <c r="BH45" s="338"/>
      <c r="BI45" s="341"/>
    </row>
    <row r="46" spans="1:61" ht="13.8" x14ac:dyDescent="0.25">
      <c r="A46" s="1200"/>
      <c r="B46" s="18" t="s">
        <v>50</v>
      </c>
      <c r="C46" s="18"/>
      <c r="D46" s="88"/>
      <c r="E46" s="88"/>
      <c r="F46" s="88"/>
      <c r="G46" s="88"/>
      <c r="H46" s="89"/>
      <c r="I46" s="117"/>
      <c r="J46" s="331" t="s">
        <v>160</v>
      </c>
      <c r="K46" s="340"/>
      <c r="L46" s="338"/>
      <c r="M46" s="338"/>
      <c r="N46" s="341">
        <v>6.4580000000000002</v>
      </c>
      <c r="O46" s="340"/>
      <c r="P46" s="338"/>
      <c r="Q46" s="338"/>
      <c r="R46" s="341">
        <v>6.8310000000000004</v>
      </c>
      <c r="S46" s="340"/>
      <c r="T46" s="338"/>
      <c r="U46" s="338"/>
      <c r="V46" s="341">
        <v>6.8310000000000004</v>
      </c>
      <c r="W46" s="340"/>
      <c r="X46" s="338"/>
      <c r="Y46" s="338"/>
      <c r="Z46" s="341">
        <v>6.8310000000000004</v>
      </c>
      <c r="AA46" s="340"/>
      <c r="AB46" s="338"/>
      <c r="AC46" s="338"/>
      <c r="AD46" s="341">
        <v>6.8310000000000004</v>
      </c>
      <c r="AE46" s="340"/>
      <c r="AF46" s="338"/>
      <c r="AG46" s="338"/>
      <c r="AH46" s="341">
        <v>6.8310000000000004</v>
      </c>
      <c r="AI46" s="460"/>
      <c r="AJ46" s="1050"/>
      <c r="AK46" s="1051"/>
      <c r="AL46" s="340"/>
      <c r="AM46" s="338"/>
      <c r="AN46" s="338"/>
      <c r="AO46" s="341"/>
      <c r="AP46" s="340"/>
      <c r="AQ46" s="338"/>
      <c r="AR46" s="338"/>
      <c r="AS46" s="341"/>
      <c r="AT46" s="340"/>
      <c r="AU46" s="338"/>
      <c r="AV46" s="338"/>
      <c r="AW46" s="341"/>
      <c r="AX46" s="340"/>
      <c r="AY46" s="338"/>
      <c r="AZ46" s="338"/>
      <c r="BA46" s="341"/>
      <c r="BB46" s="340"/>
      <c r="BC46" s="338"/>
      <c r="BD46" s="338"/>
      <c r="BE46" s="341"/>
      <c r="BF46" s="340"/>
      <c r="BG46" s="338"/>
      <c r="BH46" s="338"/>
      <c r="BI46" s="341"/>
    </row>
    <row r="47" spans="1:61" ht="28.2" thickBot="1" x14ac:dyDescent="0.3">
      <c r="A47" s="1201"/>
      <c r="B47" s="21" t="s">
        <v>51</v>
      </c>
      <c r="C47" s="21"/>
      <c r="D47" s="90"/>
      <c r="E47" s="90"/>
      <c r="F47" s="90"/>
      <c r="G47" s="90"/>
      <c r="H47" s="91"/>
      <c r="I47" s="121"/>
      <c r="J47" s="332"/>
      <c r="K47" s="345"/>
      <c r="L47" s="343"/>
      <c r="M47" s="343"/>
      <c r="N47" s="346"/>
      <c r="O47" s="345"/>
      <c r="P47" s="343"/>
      <c r="Q47" s="343"/>
      <c r="R47" s="346"/>
      <c r="S47" s="345"/>
      <c r="T47" s="343"/>
      <c r="U47" s="343"/>
      <c r="V47" s="346"/>
      <c r="W47" s="345"/>
      <c r="X47" s="343"/>
      <c r="Y47" s="343"/>
      <c r="Z47" s="346"/>
      <c r="AA47" s="345"/>
      <c r="AB47" s="343"/>
      <c r="AC47" s="343"/>
      <c r="AD47" s="346"/>
      <c r="AE47" s="345"/>
      <c r="AF47" s="343"/>
      <c r="AG47" s="343"/>
      <c r="AH47" s="346"/>
      <c r="AI47" s="460"/>
      <c r="AJ47" s="1052"/>
      <c r="AK47" s="988"/>
      <c r="AL47" s="345"/>
      <c r="AM47" s="343"/>
      <c r="AN47" s="343"/>
      <c r="AO47" s="346"/>
      <c r="AP47" s="345"/>
      <c r="AQ47" s="343"/>
      <c r="AR47" s="343"/>
      <c r="AS47" s="346"/>
      <c r="AT47" s="345"/>
      <c r="AU47" s="343"/>
      <c r="AV47" s="343"/>
      <c r="AW47" s="346"/>
      <c r="AX47" s="345"/>
      <c r="AY47" s="343"/>
      <c r="AZ47" s="343"/>
      <c r="BA47" s="346"/>
      <c r="BB47" s="345"/>
      <c r="BC47" s="343"/>
      <c r="BD47" s="343"/>
      <c r="BE47" s="346"/>
      <c r="BF47" s="345"/>
      <c r="BG47" s="343"/>
      <c r="BH47" s="343"/>
      <c r="BI47" s="346"/>
    </row>
  </sheetData>
  <mergeCells count="31">
    <mergeCell ref="AJ37:AJ38"/>
    <mergeCell ref="AJ39:AJ40"/>
    <mergeCell ref="AJ41:AJ42"/>
    <mergeCell ref="AJ43:AJ44"/>
    <mergeCell ref="BB2:BE2"/>
    <mergeCell ref="AJ3:AJ9"/>
    <mergeCell ref="AL2:AO2"/>
    <mergeCell ref="AP2:AS2"/>
    <mergeCell ref="AT2:AW2"/>
    <mergeCell ref="AX2:BA2"/>
    <mergeCell ref="AJ24:AJ26"/>
    <mergeCell ref="A27:A28"/>
    <mergeCell ref="A29:A32"/>
    <mergeCell ref="A33:A36"/>
    <mergeCell ref="A37:A47"/>
    <mergeCell ref="AA2:AD2"/>
    <mergeCell ref="A10:A26"/>
    <mergeCell ref="B24:B26"/>
    <mergeCell ref="J24:J26"/>
    <mergeCell ref="W2:Z2"/>
    <mergeCell ref="BN1:BO1"/>
    <mergeCell ref="BF2:BI2"/>
    <mergeCell ref="BL1:BM1"/>
    <mergeCell ref="AE2:AH2"/>
    <mergeCell ref="A3:A9"/>
    <mergeCell ref="I6:I9"/>
    <mergeCell ref="A1:D1"/>
    <mergeCell ref="A2:B2"/>
    <mergeCell ref="K2:N2"/>
    <mergeCell ref="O2:R2"/>
    <mergeCell ref="S2:V2"/>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1"/>
  <sheetViews>
    <sheetView workbookViewId="0">
      <pane xSplit="1" topLeftCell="J1" activePane="topRight" state="frozen"/>
      <selection pane="topRight" activeCell="L22" sqref="L22"/>
    </sheetView>
  </sheetViews>
  <sheetFormatPr baseColWidth="10" defaultRowHeight="13.2" x14ac:dyDescent="0.25"/>
  <cols>
    <col min="2" max="4" width="11.44140625" customWidth="1"/>
  </cols>
  <sheetData>
    <row r="1" spans="1:24" ht="39.6" customHeight="1" x14ac:dyDescent="0.25">
      <c r="V1" s="1086" t="s">
        <v>270</v>
      </c>
      <c r="W1" s="1228"/>
      <c r="X1" s="1229"/>
    </row>
    <row r="2" spans="1:24" ht="25.8" customHeight="1" thickBot="1" x14ac:dyDescent="0.3">
      <c r="V2" s="1087" t="s">
        <v>259</v>
      </c>
      <c r="W2" s="1083" t="s">
        <v>262</v>
      </c>
      <c r="X2" s="1083" t="s">
        <v>263</v>
      </c>
    </row>
    <row r="3" spans="1:24" ht="27" thickBot="1" x14ac:dyDescent="0.3">
      <c r="A3" s="1"/>
      <c r="B3" s="2">
        <v>2008</v>
      </c>
      <c r="C3" s="2">
        <v>2009</v>
      </c>
      <c r="D3" s="2">
        <v>2010</v>
      </c>
      <c r="E3" s="105">
        <v>2011</v>
      </c>
      <c r="F3" s="105">
        <v>2012</v>
      </c>
      <c r="G3" s="373"/>
      <c r="H3" s="105">
        <v>2013</v>
      </c>
      <c r="I3" s="105">
        <v>2014</v>
      </c>
      <c r="J3" s="105">
        <v>2015</v>
      </c>
      <c r="K3" s="105">
        <v>2016</v>
      </c>
      <c r="L3" s="105">
        <v>2017</v>
      </c>
      <c r="M3" s="105">
        <v>2018</v>
      </c>
      <c r="O3" s="105">
        <v>2019</v>
      </c>
      <c r="P3" s="105">
        <v>2020</v>
      </c>
      <c r="Q3" s="105">
        <v>2021</v>
      </c>
      <c r="R3" s="105">
        <v>2022</v>
      </c>
      <c r="S3" s="105">
        <v>2023</v>
      </c>
      <c r="T3" s="105">
        <v>2024</v>
      </c>
      <c r="U3" s="2"/>
      <c r="V3" s="1158" t="s">
        <v>273</v>
      </c>
      <c r="W3" s="1085">
        <v>0.71</v>
      </c>
      <c r="X3" s="1085">
        <v>2.52</v>
      </c>
    </row>
    <row r="4" spans="1:24" ht="55.8" thickBot="1" x14ac:dyDescent="0.3">
      <c r="A4" s="123" t="s">
        <v>69</v>
      </c>
      <c r="B4" s="412" t="s">
        <v>70</v>
      </c>
      <c r="C4" s="412" t="s">
        <v>70</v>
      </c>
      <c r="D4" s="412" t="s">
        <v>70</v>
      </c>
      <c r="E4" s="105" t="s">
        <v>70</v>
      </c>
      <c r="F4" s="105" t="s">
        <v>70</v>
      </c>
      <c r="G4" s="373"/>
      <c r="H4" s="105" t="s">
        <v>70</v>
      </c>
      <c r="I4" s="105" t="s">
        <v>70</v>
      </c>
      <c r="J4" s="105" t="s">
        <v>70</v>
      </c>
      <c r="K4" s="105" t="s">
        <v>70</v>
      </c>
      <c r="L4" s="105" t="s">
        <v>70</v>
      </c>
      <c r="M4" s="105" t="s">
        <v>70</v>
      </c>
      <c r="O4" s="105" t="s">
        <v>70</v>
      </c>
      <c r="P4" s="105" t="s">
        <v>70</v>
      </c>
      <c r="Q4" s="105" t="s">
        <v>70</v>
      </c>
      <c r="R4" s="105" t="s">
        <v>70</v>
      </c>
      <c r="S4" s="105" t="s">
        <v>70</v>
      </c>
      <c r="T4" s="105" t="s">
        <v>70</v>
      </c>
      <c r="U4" s="2"/>
    </row>
    <row r="5" spans="1:24" ht="13.8" thickBot="1" x14ac:dyDescent="0.3">
      <c r="A5" s="128" t="s">
        <v>71</v>
      </c>
      <c r="B5" s="128"/>
      <c r="C5" s="128"/>
      <c r="D5" s="128"/>
      <c r="E5" s="107">
        <v>0.5</v>
      </c>
      <c r="F5" s="107">
        <v>0.5</v>
      </c>
      <c r="G5" s="373"/>
      <c r="H5" s="107">
        <v>0.3</v>
      </c>
      <c r="I5" s="107">
        <v>0.3</v>
      </c>
      <c r="J5" s="107">
        <v>0.3</v>
      </c>
      <c r="K5" s="107">
        <v>0.3</v>
      </c>
      <c r="L5" s="107">
        <v>0.3</v>
      </c>
      <c r="M5" s="107">
        <v>0.3</v>
      </c>
      <c r="O5" s="107">
        <v>0.5</v>
      </c>
      <c r="P5" s="107">
        <v>0.5</v>
      </c>
      <c r="Q5" s="107">
        <v>0.5</v>
      </c>
      <c r="R5" s="107">
        <v>0.5</v>
      </c>
      <c r="S5" s="107">
        <v>0.5</v>
      </c>
      <c r="T5" s="107">
        <v>0.5</v>
      </c>
      <c r="U5" s="1161">
        <f>+($W$3-T5)/T5</f>
        <v>0.41999999999999993</v>
      </c>
    </row>
    <row r="6" spans="1:24" ht="13.8" thickBot="1" x14ac:dyDescent="0.3">
      <c r="A6" s="181" t="s">
        <v>24</v>
      </c>
      <c r="B6" s="108">
        <v>0.51</v>
      </c>
      <c r="C6" s="108">
        <v>0.52500000000000002</v>
      </c>
      <c r="D6" s="108">
        <v>0.81200000000000006</v>
      </c>
      <c r="E6" s="108">
        <v>0.83599999999999997</v>
      </c>
      <c r="F6" s="108">
        <v>0.86099999999999999</v>
      </c>
      <c r="G6" s="373"/>
      <c r="H6" s="108">
        <v>0.88</v>
      </c>
      <c r="I6" s="108">
        <v>0.9</v>
      </c>
      <c r="J6" s="108">
        <v>0.91</v>
      </c>
      <c r="K6" s="108">
        <v>0.93</v>
      </c>
      <c r="L6" s="108">
        <v>0.95</v>
      </c>
      <c r="M6" s="108">
        <v>0.97</v>
      </c>
      <c r="O6" s="108">
        <v>0.97</v>
      </c>
      <c r="P6" s="108">
        <v>0.97</v>
      </c>
      <c r="Q6" s="108">
        <v>0.97</v>
      </c>
      <c r="R6" s="108">
        <v>0.97</v>
      </c>
      <c r="S6" s="108">
        <v>0.97</v>
      </c>
      <c r="T6" s="1165">
        <v>0.97</v>
      </c>
      <c r="U6" s="1166"/>
      <c r="V6" s="991"/>
    </row>
    <row r="7" spans="1:24" ht="13.8" thickBot="1" x14ac:dyDescent="0.3">
      <c r="A7" s="128" t="s">
        <v>27</v>
      </c>
      <c r="B7" s="128"/>
      <c r="C7" s="128">
        <v>0.27</v>
      </c>
      <c r="D7" s="128"/>
      <c r="E7" s="109">
        <v>0.4</v>
      </c>
      <c r="F7" s="182"/>
      <c r="G7" s="377"/>
      <c r="H7" s="109">
        <v>0.52300000000000002</v>
      </c>
      <c r="I7" s="109">
        <v>0.56999999999999995</v>
      </c>
      <c r="J7" s="109">
        <v>0.621</v>
      </c>
      <c r="K7" s="109">
        <v>0.67700000000000005</v>
      </c>
      <c r="L7" s="109">
        <v>0.73799999999999999</v>
      </c>
      <c r="M7" s="109">
        <v>0.80400000000000005</v>
      </c>
      <c r="O7" s="109">
        <v>0.80400000000000005</v>
      </c>
      <c r="P7" s="109">
        <v>0.80400000000000005</v>
      </c>
      <c r="Q7" s="109">
        <v>0.80400000000000005</v>
      </c>
      <c r="R7" s="109">
        <v>0.80400000000000005</v>
      </c>
      <c r="S7" s="109">
        <v>0.80400000000000005</v>
      </c>
      <c r="T7" s="1167">
        <v>0.80400000000000005</v>
      </c>
      <c r="U7" s="1168"/>
    </row>
    <row r="8" spans="1:24" ht="13.8" thickBot="1" x14ac:dyDescent="0.3">
      <c r="A8" s="128" t="s">
        <v>26</v>
      </c>
      <c r="B8" s="128"/>
      <c r="C8" s="128"/>
      <c r="D8" s="128"/>
      <c r="E8" s="183">
        <v>0.3</v>
      </c>
      <c r="F8" s="183">
        <v>0.3</v>
      </c>
      <c r="G8" s="377"/>
      <c r="H8" s="110">
        <v>0.309</v>
      </c>
      <c r="I8" s="110">
        <v>0.318</v>
      </c>
      <c r="J8" s="110">
        <v>0.32800000000000001</v>
      </c>
      <c r="K8" s="110">
        <v>0.36</v>
      </c>
      <c r="L8" s="110">
        <v>0.36</v>
      </c>
      <c r="M8" s="110">
        <v>0.36</v>
      </c>
      <c r="O8" s="110">
        <v>0.36</v>
      </c>
      <c r="P8" s="110">
        <v>0.36</v>
      </c>
      <c r="Q8" s="110">
        <v>0.36</v>
      </c>
      <c r="R8" s="110">
        <v>0.36</v>
      </c>
      <c r="S8" s="110">
        <v>0.36</v>
      </c>
      <c r="T8" s="1170">
        <v>0.36</v>
      </c>
      <c r="U8" s="1171">
        <f t="shared" ref="U8:U9" si="0">+($W$3-T8)/T8</f>
        <v>0.97222222222222221</v>
      </c>
    </row>
    <row r="9" spans="1:24" ht="13.8" thickBot="1" x14ac:dyDescent="0.3">
      <c r="A9" s="128" t="s">
        <v>28</v>
      </c>
      <c r="B9" s="128"/>
      <c r="C9" s="128"/>
      <c r="D9" s="128"/>
      <c r="E9" s="111">
        <v>3.3799999999999997E-2</v>
      </c>
      <c r="F9" s="111">
        <v>3.3799999999999997E-2</v>
      </c>
      <c r="G9" s="373"/>
      <c r="H9" s="111">
        <f>0.338+0.0338</f>
        <v>0.37180000000000002</v>
      </c>
      <c r="I9" s="111">
        <v>4.0559999999999999E-2</v>
      </c>
      <c r="J9" s="111">
        <v>4.394E-2</v>
      </c>
      <c r="K9" s="111">
        <v>4.7320000000000001E-2</v>
      </c>
      <c r="L9" s="111">
        <v>5.0700000000000002E-2</v>
      </c>
      <c r="M9" s="111">
        <v>5.0700000000000002E-2</v>
      </c>
      <c r="O9" s="997">
        <v>0.50700000000000001</v>
      </c>
      <c r="P9" s="997">
        <v>0.50700000000000001</v>
      </c>
      <c r="Q9" s="997">
        <v>0.50700000000000001</v>
      </c>
      <c r="R9" s="997">
        <v>0.50700000000000001</v>
      </c>
      <c r="S9" s="997">
        <v>0.50700000000000001</v>
      </c>
      <c r="T9" s="1172">
        <v>0.50700000000000001</v>
      </c>
      <c r="U9" s="1173">
        <f t="shared" si="0"/>
        <v>0.40039447731755418</v>
      </c>
    </row>
    <row r="10" spans="1:24" ht="13.8" thickBot="1" x14ac:dyDescent="0.3">
      <c r="A10" s="128" t="s">
        <v>29</v>
      </c>
      <c r="B10" s="128"/>
      <c r="C10" s="128"/>
      <c r="D10" s="128"/>
      <c r="E10" s="112">
        <v>0.22</v>
      </c>
      <c r="F10" s="112">
        <v>0.6</v>
      </c>
      <c r="G10" s="373"/>
      <c r="H10" s="112">
        <v>1.2</v>
      </c>
      <c r="I10" s="112">
        <v>1.2</v>
      </c>
      <c r="J10" s="112">
        <v>1.2</v>
      </c>
      <c r="K10" s="112">
        <v>1.2</v>
      </c>
      <c r="L10" s="112">
        <v>1.1000000000000001</v>
      </c>
      <c r="M10" s="112">
        <v>1.1000000000000001</v>
      </c>
      <c r="N10" s="124" t="s">
        <v>220</v>
      </c>
      <c r="O10" s="774">
        <v>1.1000000000000001</v>
      </c>
      <c r="P10" s="770">
        <v>1.1000000000000001</v>
      </c>
      <c r="Q10" s="770">
        <v>1.1000000000000001</v>
      </c>
      <c r="R10" s="770">
        <v>1.1000000000000001</v>
      </c>
      <c r="S10" s="770">
        <v>1.1000000000000001</v>
      </c>
      <c r="T10" s="775">
        <v>1.1000000000000001</v>
      </c>
      <c r="U10" s="1169"/>
    </row>
    <row r="11" spans="1:24" ht="13.8" thickBot="1" x14ac:dyDescent="0.3">
      <c r="N11" s="124" t="s">
        <v>219</v>
      </c>
      <c r="O11" s="776">
        <v>1.65</v>
      </c>
      <c r="P11" s="771">
        <v>1.65</v>
      </c>
      <c r="Q11" s="771">
        <v>1.65</v>
      </c>
      <c r="R11" s="771">
        <v>1.65</v>
      </c>
      <c r="S11" s="771">
        <v>1.65</v>
      </c>
      <c r="T11" s="777">
        <v>1.65</v>
      </c>
      <c r="U11" s="1169"/>
    </row>
  </sheetData>
  <mergeCells count="1">
    <mergeCell ref="W1:X1"/>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7</vt:i4>
      </vt:variant>
    </vt:vector>
  </HeadingPairs>
  <TitlesOfParts>
    <vt:vector size="22" baseType="lpstr">
      <vt:lpstr>Redevance Pollution</vt:lpstr>
      <vt:lpstr>Redevance pollution DOM</vt:lpstr>
      <vt:lpstr>Modernisation réseaux collecte</vt:lpstr>
      <vt:lpstr>Modernisation réseaux colle dom</vt:lpstr>
      <vt:lpstr>Prélévement Usage eco</vt:lpstr>
      <vt:lpstr>Prélévement Irrig Grav</vt:lpstr>
      <vt:lpstr>Prélévement Irrig</vt:lpstr>
      <vt:lpstr>Prélévement domestique</vt:lpstr>
      <vt:lpstr>Prélévement Hydro</vt:lpstr>
      <vt:lpstr>Obstacles</vt:lpstr>
      <vt:lpstr>Prélévement pour refroidissemen</vt:lpstr>
      <vt:lpstr>Alimentation d'un canal</vt:lpstr>
      <vt:lpstr>Stokage Etiage</vt:lpstr>
      <vt:lpstr>Graphique pollution 1</vt:lpstr>
      <vt:lpstr>Graphique pollution 2</vt:lpstr>
      <vt:lpstr>'Modernisation réseaux colle dom'!Zone_d_impression</vt:lpstr>
      <vt:lpstr>'Modernisation réseaux collecte'!Zone_d_impression</vt:lpstr>
      <vt:lpstr>'Prélévement Irrig'!Zone_d_impression</vt:lpstr>
      <vt:lpstr>'Prélévement Irrig Grav'!Zone_d_impression</vt:lpstr>
      <vt:lpstr>'Prélévement Usage eco'!Zone_d_impression</vt:lpstr>
      <vt:lpstr>'Redevance Pollution'!Zone_d_impression</vt:lpstr>
      <vt:lpstr>'Redevance pollution DOM'!Zone_d_impression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molas</dc:creator>
  <cp:lastModifiedBy>Christian Lecussan</cp:lastModifiedBy>
  <cp:lastPrinted>2009-09-18T06:36:53Z</cp:lastPrinted>
  <dcterms:created xsi:type="dcterms:W3CDTF">2008-04-18T20:28:39Z</dcterms:created>
  <dcterms:modified xsi:type="dcterms:W3CDTF">2024-02-19T17:56:03Z</dcterms:modified>
</cp:coreProperties>
</file>